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<sst xmlns="http://schemas.openxmlformats.org/spreadsheetml/2006/main" count="8184" uniqueCount="1178">
  <si>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</si>
  <si>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</si>
  <si>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</si>
  <si>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</si>
  <si>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</si>
  <si>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</si>
  <si>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</si>
  <si>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</si>
  <si>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</si>
  <si>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</si>
  <si>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</si>
  <si>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</si>
  <si>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</si>
  <si>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</si>
  <si>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</si>
  <si>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</si>
  <si>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</si>
  <si>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</si>
  <si>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</si>
  <si>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</si>
  <si>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</si>
  <si>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</si>
  <si>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</si>
  <si>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</si>
  <si>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</si>
  <si>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</si>
  <si>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</si>
  <si>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</si>
  <si>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</si>
  <si>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</si>
  <si>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</si>
  <si>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</si>
  <si>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</si>
  <si>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</si>
  <si>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</si>
  <si>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</si>
  <si>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</si>
  <si>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</si>
  <si>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</si>
  <si>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</si>
  <si>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</si>
  <si>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</si>
  <si>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</si>
  <si>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</si>
  <si>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</si>
  <si>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</si>
  <si>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</si>
  <si>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</si>
  <si>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</si>
  <si>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</si>
  <si>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</si>
  <si>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</si>
  <si>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</si>
  <si>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</si>
  <si>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</si>
  <si>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</si>
  <si>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</si>
  <si>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</si>
  <si>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</si>
  <si>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</si>
  <si>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</si>
  <si>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</si>
  <si>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</si>
  <si>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</si>
  <si>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</si>
  <si>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</si>
  <si>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</si>
  <si>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</si>
  <si>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</si>
  <si>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</si>
  <si>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</si>
  <si>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</si>
  <si>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</si>
  <si>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</si>
  <si>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</si>
  <si>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</si>
  <si>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</si>
  <si>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</si>
  <si>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</si>
  <si>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</si>
  <si>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</si>
  <si>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</si>
  <si>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</si>
  <si>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</si>
  <si>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</si>
  <si>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</si>
  <si>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</si>
  <si>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</si>
  <si>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</si>
  <si>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</si>
  <si>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</si>
  <si>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</si>
  <si>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</si>
  <si>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</si>
  <si>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</si>
  <si>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</si>
  <si>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</si>
  <si>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</si>
  <si>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</si>
  <si>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</si>
  <si>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</si>
  <si>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</si>
  <si>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</si>
  <si>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</si>
  <si>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</si>
  <si>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</si>
  <si>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</si>
  <si>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</si>
  <si>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</si>
  <si>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</si>
  <si>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</si>
  <si>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</si>
  <si>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</si>
  <si>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</si>
  <si>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</si>
  <si>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</si>
  <si>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</si>
  <si>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</si>
  <si>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</si>
  <si>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</si>
  <si>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</si>
  <si>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</si>
  <si>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</si>
  <si>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</si>
  <si>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</si>
  <si>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</si>
  <si>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</si>
  <si>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</si>
  <si>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</si>
  <si>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</si>
  <si>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</si>
  <si>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</si>
  <si>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</si>
  <si>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</si>
  <si>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</si>
  <si>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</si>
  <si>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</si>
  <si>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</si>
  <si>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</si>
  <si>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</si>
  <si>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</si>
  <si>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</si>
  <si>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</si>
  <si>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</si>
  <si>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</si>
  <si>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</si>
  <si>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</si>
  <si>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</si>
  <si>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</si>
  <si>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</si>
  <si>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</si>
  <si>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</si>
  <si>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</si>
  <si>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</si>
  <si>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</si>
  <si>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</si>
  <si>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</si>
  <si>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</si>
  <si>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</si>
  <si>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</si>
  <si>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</si>
  <si>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</si>
  <si>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</si>
  <si>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</si>
  <si>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</si>
  <si>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</si>
  <si>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</si>
  <si>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</si>
  <si>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</si>
  <si>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</si>
  <si>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</si>
  <si>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</si>
  <si>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</si>
  <si>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</si>
  <si>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</si>
  <si>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</si>
  <si>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</si>
  <si>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</si>
  <si>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</si>
  <si>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</si>
  <si>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</si>
  <si>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</si>
  <si>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</si>
  <si>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</si>
  <si>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</si>
  <si>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</si>
  <si>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</si>
  <si>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</si>
  <si>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</si>
  <si>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</si>
  <si>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</si>
  <si>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</si>
  <si>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</si>
  <si>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</si>
  <si>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</si>
  <si>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</si>
  <si>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</si>
  <si>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</si>
  <si>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</si>
  <si>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</si>
  <si>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</si>
  <si>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</si>
  <si>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</si>
  <si>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</si>
  <si>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</si>
  <si>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</si>
  <si>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</si>
  <si>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</si>
  <si>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</si>
  <si>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</si>
  <si>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</si>
  <si>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</si>
  <si>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</si>
  <si>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</si>
  <si>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</si>
  <si>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</si>
  <si>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</si>
  <si>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</si>
  <si>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</si>
  <si>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</si>
  <si>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</si>
  <si>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</si>
  <si>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</si>
  <si>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</si>
  <si>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</si>
  <si>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</si>
  <si>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</si>
  <si>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</si>
  <si>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</si>
  <si>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</si>
  <si>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</si>
  <si>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</si>
  <si>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</si>
  <si>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</si>
  <si>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</si>
  <si>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</si>
  <si>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</si>
  <si>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</si>
  <si>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</si>
  <si>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</si>
  <si>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</si>
  <si>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</si>
  <si>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</si>
  <si>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</si>
  <si>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</si>
  <si>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</si>
  <si>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</si>
  <si>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</si>
  <si>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</si>
  <si>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</si>
  <si>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</si>
  <si>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</si>
  <si>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</si>
  <si>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</si>
  <si>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</si>
  <si>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</si>
  <si>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</si>
  <si>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</si>
  <si>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</si>
  <si>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</si>
  <si>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</si>
  <si>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</si>
  <si>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</si>
  <si>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</si>
  <si>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</si>
  <si>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</si>
  <si>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</si>
  <si>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</si>
  <si>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</si>
  <si>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</si>
  <si>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</si>
  <si>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</si>
  <si>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</si>
  <si>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</si>
  <si>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</si>
  <si>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</si>
  <si>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</si>
  <si>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</si>
  <si>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</si>
  <si>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</si>
  <si>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</si>
  <si>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</si>
  <si>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</si>
  <si>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</si>
  <si>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</si>
  <si>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</si>
  <si>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</si>
  <si>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</si>
  <si>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</si>
  <si>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</si>
  <si>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</si>
  <si>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</si>
  <si>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</si>
  <si>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</si>
  <si>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</si>
  <si>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</si>
  <si>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</si>
  <si>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</si>
  <si>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</si>
  <si>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</si>
  <si>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</si>
  <si>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</si>
  <si>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</si>
  <si>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</si>
  <si>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</si>
  <si>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</si>
  <si>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</si>
  <si>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</si>
  <si>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</si>
  <si>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</si>
  <si>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</si>
  <si>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</si>
  <si>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</si>
  <si>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</si>
  <si>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</si>
  <si>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</si>
  <si>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</si>
  <si>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</si>
  <si>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</si>
  <si>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</si>
  <si>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</si>
  <si>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</si>
  <si>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</si>
  <si>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</si>
  <si>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</si>
  <si>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</si>
  <si>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</si>
  <si>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</si>
  <si>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</si>
  <si>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</si>
  <si>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</si>
  <si>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</si>
  <si>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</si>
  <si>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</si>
  <si>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</si>
  <si>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</si>
  <si>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</si>
  <si>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</si>
  <si>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</si>
  <si>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</si>
  <si>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</si>
  <si>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</si>
  <si>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</si>
  <si>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</si>
  <si>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</si>
  <si>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</si>
  <si>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</si>
  <si>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</si>
  <si>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</si>
  <si>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</si>
  <si>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</si>
  <si>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</si>
  <si>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</si>
  <si>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</si>
  <si>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</si>
  <si>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</si>
  <si>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</si>
  <si>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</si>
  <si>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</si>
  <si>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</si>
  <si>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</si>
  <si>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</si>
  <si>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</si>
  <si>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</si>
  <si>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</si>
  <si>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</si>
  <si>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</si>
  <si>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</si>
  <si>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</si>
  <si>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</si>
  <si>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</si>
  <si>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</si>
  <si>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</si>
  <si>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</si>
  <si>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</si>
  <si>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</si>
  <si>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</si>
  <si>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</si>
  <si>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</si>
  <si>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</si>
  <si>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</si>
  <si>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</si>
  <si>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</si>
  <si>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</si>
  <si>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</si>
  <si>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</si>
  <si>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</si>
  <si>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</si>
  <si>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</si>
  <si>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</si>
  <si>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</si>
  <si>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</si>
  <si>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</si>
  <si>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</si>
  <si>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</si>
  <si>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</si>
  <si>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</si>
  <si>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</si>
  <si>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</si>
  <si>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</si>
  <si>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</si>
  <si>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</si>
  <si>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</si>
  <si>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</si>
  <si>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</si>
  <si>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</si>
  <si>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</si>
  <si>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</si>
  <si>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</si>
  <si>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</si>
  <si>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</si>
  <si>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</si>
  <si>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</si>
  <si>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</si>
  <si>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</si>
  <si>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</si>
  <si>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</si>
  <si>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</si>
  <si>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</si>
  <si>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</si>
  <si>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</si>
  <si>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</si>
  <si>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</si>
  <si>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</si>
  <si>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</si>
  <si>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</si>
  <si>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</si>
  <si>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</si>
  <si>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</si>
  <si>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</si>
  <si>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</si>
  <si>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</si>
  <si>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</si>
  <si>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</si>
  <si>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</si>
  <si>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</si>
  <si>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</si>
  <si>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</si>
  <si>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</si>
  <si>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</si>
  <si>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</si>
  <si>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</si>
  <si>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</si>
  <si>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</si>
  <si>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</si>
  <si>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</si>
  <si>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</si>
  <si>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</si>
  <si>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</si>
  <si>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</si>
  <si>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</si>
  <si>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</si>
  <si>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</si>
  <si>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</si>
  <si>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</si>
  <si>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</si>
  <si>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</si>
  <si>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</si>
  <si>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</si>
  <si>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</si>
  <si>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</si>
  <si>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N</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</si>
  <si>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</si>
  <si>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</si>
  <si>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</si>
  <si>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</si>
  <si>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</si>
  <si>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</si>
  <si>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</si>
  <si>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</si>
  <si>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</si>
  <si>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</si>
  <si>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</si>
  <si>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</si>
  <si>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</si>
  <si>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</si>
  <si>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</si>
  <si>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</si>
  <si>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</si>
  <si>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</si>
  <si>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</si>
  <si>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</si>
  <si>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</si>
  <si>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</si>
  <si>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</si>
  <si>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</si>
  <si>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</si>
  <si>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</si>
  <si>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</si>
  <si>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</si>
  <si>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</si>
  <si>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</si>
  <si>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</si>
  <si>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</si>
  <si>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</si>
  <si>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</si>
  <si>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</si>
  <si>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</si>
  <si>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</si>
  <si>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</si>
  <si>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</si>
  <si>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</si>
  <si>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</si>
  <si>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</si>
  <si>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</si>
  <si>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</si>
  <si>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</si>
  <si>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</si>
  <si>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</si>
  <si>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</si>
  <si>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</si>
  <si>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</si>
  <si>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</si>
  <si>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</si>
  <si>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</si>
  <si>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</si>
  <si>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</si>
  <si>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</si>
  <si>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</si>
  <si>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</si>
  <si>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</si>
  <si>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</si>
  <si>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</si>
  <si>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</si>
  <si>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</si>
  <si>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</si>
  <si>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</si>
  <si>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</si>
  <si>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</si>
  <si>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</si>
  <si>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</si>
  <si>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</si>
  <si>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</si>
  <si>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</si>
  <si>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</si>
  <si>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</si>
  <si>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</si>
  <si>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</si>
  <si>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</si>
  <si>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</si>
  <si>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</si>
  <si>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</si>
  <si>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</si>
  <si>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</si>
  <si>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</si>
  <si>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</si>
  <si>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</si>
  <si>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4/14まで
清水香
4/17まで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</si>
  <si>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</si>
  <si>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t>
  </si>
  <si>
    <t>👈11日～15日の日報</t>
  </si>
  <si>
    <t>記入者1</t>
  </si>
  <si>
    <t>【共有事項】
【メイド・チェッカー】
【人員】
【その他】</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</si>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</sst>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0" fillId="0" fontId="64" numFmtId="0" xfId="0" applyAlignment="1" applyFont="1">
      <alignment horizontal="left" readingOrder="0"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18" fillId="5" fontId="64" numFmtId="0" xfId="0" applyAlignment="1" applyBorder="1" applyFont="1">
      <alignment readingOrder="0" vertical="center"/>
    </xf>
    <xf borderId="18" fillId="32" fontId="64" numFmtId="0" xfId="0" applyAlignment="1" applyBorder="1" applyFon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4" xfId="0" applyAlignment="1" applyFont="1" applyNumberFormat="1">
      <alignment horizontal="center" readingOrder="0" vertical="center"/>
    </xf>
    <xf borderId="0" fillId="36" fontId="92" numFmtId="174"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4" xfId="0" applyAlignment="1" applyFont="1" applyNumberFormat="1">
      <alignment horizontal="center" readingOrder="0" vertical="center"/>
    </xf>
    <xf borderId="0" fillId="0" fontId="104" numFmtId="174"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5"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6" xfId="0" applyAlignment="1" applyBorder="1" applyFont="1" applyNumberFormat="1">
      <alignment horizontal="center" readingOrder="0" vertical="center"/>
    </xf>
    <xf borderId="128" fillId="0" fontId="3" numFmtId="0" xfId="0" applyBorder="1" applyFont="1"/>
    <xf borderId="129" fillId="4" fontId="114"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5"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8"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8"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8"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8"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8"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8"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79"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79"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79"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0"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0"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0"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32" fontId="64" numFmtId="181" xfId="0" applyAlignment="1" applyBorder="1" applyFont="1" applyNumberFormat="1">
      <alignment horizontal="center" readingOrder="0" vertical="center"/>
    </xf>
    <xf borderId="18" fillId="29" fontId="53"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81"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55799443"/>
        <c:axId val="397177337"/>
      </c:lineChart>
      <c:catAx>
        <c:axId val="2557994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97177337"/>
      </c:catAx>
      <c:valAx>
        <c:axId val="3971773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57994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81655149"/>
        <c:axId val="328245527"/>
      </c:lineChart>
      <c:catAx>
        <c:axId val="15816551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8245527"/>
      </c:catAx>
      <c:valAx>
        <c:axId val="3282455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165514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64340169"/>
        <c:axId val="1213424156"/>
      </c:lineChart>
      <c:catAx>
        <c:axId val="15643401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3424156"/>
      </c:catAx>
      <c:valAx>
        <c:axId val="12134241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43401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02727215"/>
        <c:axId val="1213097227"/>
      </c:barChart>
      <c:catAx>
        <c:axId val="19027272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13097227"/>
      </c:catAx>
      <c:valAx>
        <c:axId val="12130972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272721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04547238"/>
        <c:axId val="1317989192"/>
      </c:lineChart>
      <c:catAx>
        <c:axId val="5045472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7989192"/>
      </c:catAx>
      <c:valAx>
        <c:axId val="13179891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45472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9993541"/>
        <c:axId val="486369185"/>
      </c:barChart>
      <c:catAx>
        <c:axId val="999935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6369185"/>
      </c:catAx>
      <c:valAx>
        <c:axId val="4863691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99354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drawing" Target="../drawings/drawing1.xm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IFERROR(__xludf.DUMMYFUNCTION("""COMPUTED_VALUE"""),8.0)</f>
        <v>8</v>
      </c>
      <c r="E6" s="19">
        <f>IFERROR(__xludf.DUMMYFUNCTION("""COMPUTED_VALUE"""),46122.0)</f>
        <v>46122</v>
      </c>
      <c r="F6"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6" s="20"/>
      <c r="H6" s="21"/>
      <c r="I6"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6" s="22" t="str">
        <f>IFERROR(__xludf.DUMMYFUNCTION("""COMPUTED_VALUE"""),"")</f>
        <v/>
      </c>
      <c r="K6" s="23" t="str">
        <f>IFERROR(__xludf.DUMMYFUNCTION("""COMPUTED_VALUE"""),"")</f>
        <v/>
      </c>
      <c r="L6" s="24" t="str">
        <f>IFERROR(__xludf.DUMMYFUNCTION("""COMPUTED_VALUE"""),"ゲ‍ス‍ト")</f>
        <v>ゲ‍ス‍ト</v>
      </c>
      <c r="N6" s="24" t="b">
        <f>IFERROR(__xludf.DUMMYFUNCTION("IMPORTRANGE(C3,Q3&amp;R3&amp;T3)"),FALSE)</f>
        <v>0</v>
      </c>
      <c r="O6" s="18" t="str">
        <f>IFERROR(__xludf.DUMMYFUNCTION("""COMPUTED_VALUE"""),"Trip.com")</f>
        <v>Trip.com</v>
      </c>
      <c r="P6" s="24">
        <f>IFERROR(__xludf.DUMMYFUNCTION("""COMPUTED_VALUE"""),8.0)</f>
        <v>8</v>
      </c>
      <c r="Q6" s="25">
        <f>IFERROR(__xludf.DUMMYFUNCTION("""COMPUTED_VALUE"""),46122.0)</f>
        <v>46122</v>
      </c>
      <c r="R6"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6" s="24"/>
      <c r="T6" s="24"/>
      <c r="U6"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6" s="24" t="str">
        <f>IFERROR(__xludf.DUMMYFUNCTION("""COMPUTED_VALUE"""),"")</f>
        <v/>
      </c>
      <c r="W6" s="24" t="str">
        <f>IFERROR(__xludf.DUMMYFUNCTION("""COMPUTED_VALUE"""),"")</f>
        <v/>
      </c>
      <c r="X6" s="24" t="str">
        <f>IFERROR(__xludf.DUMMYFUNCTION("""COMPUTED_VALUE"""),"ゲ‍ス‍ト")</f>
        <v>ゲ‍ス‍ト</v>
      </c>
    </row>
    <row r="7">
      <c r="B7" s="17" t="b">
        <f>IFERROR(__xludf.DUMMYFUNCTION("""COMPUTED_VALUE"""),FALSE)</f>
        <v>0</v>
      </c>
      <c r="C7" s="18" t="str">
        <f>IFERROR(__xludf.DUMMYFUNCTION("""COMPUTED_VALUE"""),"Trip.com")</f>
        <v>Trip.com</v>
      </c>
      <c r="D7" s="5">
        <f>IFERROR(__xludf.DUMMYFUNCTION("""COMPUTED_VALUE"""),9.0)</f>
        <v>9</v>
      </c>
      <c r="E7" s="19">
        <f>IFERROR(__xludf.DUMMYFUNCTION("""COMPUTED_VALUE"""),46120.0)</f>
        <v>46120</v>
      </c>
      <c r="F7"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7" s="26"/>
      <c r="H7" s="21"/>
      <c r="I7"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7" s="5" t="str">
        <f>IFERROR(__xludf.DUMMYFUNCTION("""COMPUTED_VALUE"""),"")</f>
        <v/>
      </c>
      <c r="K7" s="24" t="str">
        <f>IFERROR(__xludf.DUMMYFUNCTION("""COMPUTED_VALUE"""),"")</f>
        <v/>
      </c>
      <c r="L7" s="24" t="str">
        <f>IFERROR(__xludf.DUMMYFUNCTION("""COMPUTED_VALUE"""),"H‍u‍l‍u‍n")</f>
        <v>H‍u‍l‍u‍n</v>
      </c>
      <c r="N7" s="24" t="b">
        <f>IFERROR(__xludf.DUMMYFUNCTION("""COMPUTED_VALUE"""),FALSE)</f>
        <v>0</v>
      </c>
      <c r="O7" s="18" t="str">
        <f>IFERROR(__xludf.DUMMYFUNCTION("""COMPUTED_VALUE"""),"Trip.com")</f>
        <v>Trip.com</v>
      </c>
      <c r="P7" s="24">
        <f>IFERROR(__xludf.DUMMYFUNCTION("""COMPUTED_VALUE"""),9.0)</f>
        <v>9</v>
      </c>
      <c r="Q7" s="25">
        <f>IFERROR(__xludf.DUMMYFUNCTION("""COMPUTED_VALUE"""),46120.0)</f>
        <v>46120</v>
      </c>
      <c r="R7"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7" s="24"/>
      <c r="T7" s="24"/>
      <c r="U7"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7" s="24" t="str">
        <f>IFERROR(__xludf.DUMMYFUNCTION("""COMPUTED_VALUE"""),"")</f>
        <v/>
      </c>
      <c r="W7" s="24" t="str">
        <f>IFERROR(__xludf.DUMMYFUNCTION("""COMPUTED_VALUE"""),"")</f>
        <v/>
      </c>
      <c r="X7" s="24" t="str">
        <f>IFERROR(__xludf.DUMMYFUNCTION("""COMPUTED_VALUE"""),"H‍u‍l‍u‍n")</f>
        <v>H‍u‍l‍u‍n</v>
      </c>
    </row>
    <row r="8">
      <c r="B8" s="17" t="b">
        <f>IFERROR(__xludf.DUMMYFUNCTION("""COMPUTED_VALUE"""),FALSE)</f>
        <v>0</v>
      </c>
      <c r="C8" s="18" t="str">
        <f>IFERROR(__xludf.DUMMYFUNCTION("""COMPUTED_VALUE"""),"Booking.com")</f>
        <v>Booking.com</v>
      </c>
      <c r="D8" s="5">
        <f>IFERROR(__xludf.DUMMYFUNCTION("""COMPUTED_VALUE"""),9.0)</f>
        <v>9</v>
      </c>
      <c r="E8" s="19">
        <f>IFERROR(__xludf.DUMMYFUNCTION("""COMPUTED_VALUE"""),46119.0)</f>
        <v>46119</v>
      </c>
      <c r="F8" s="5"/>
      <c r="G8" s="5" t="str">
        <f>IFERROR(__xludf.DUMMYFUNCTION("""COMPUTED_VALUE"""),"The location is near to train station and few halal restaurants nearby the hotel")</f>
        <v>The location is near to train station and few halal restaurants nearby the hotel</v>
      </c>
      <c r="H8" s="5" t="str">
        <f>IFERROR(__xludf.DUMMYFUNCTION("""COMPUTED_VALUE"""),"Room a bit small but very comfortable")</f>
        <v>Room a bit small but very comfortable</v>
      </c>
      <c r="I8" s="5" t="str">
        <f>IFERROR(__xludf.DUMMYFUNCTION("""COMPUTED_VALUE"""),"")</f>
        <v/>
      </c>
      <c r="J8" s="5" t="str">
        <f>IFERROR(__xludf.DUMMYFUNCTION("""COMPUTED_VALUE"""),"ホテルは駅に近く、周辺にはハラールレストランもいくつかあります。")</f>
        <v>ホテルは駅に近く、周辺にはハラールレストランもいくつかあります。</v>
      </c>
      <c r="K8" s="24" t="str">
        <f>IFERROR(__xludf.DUMMYFUNCTION("""COMPUTED_VALUE"""),"部屋は少し狭いですが、とても快適です。")</f>
        <v>部屋は少し狭いですが、とても快適です。</v>
      </c>
      <c r="L8" s="24" t="str">
        <f>IFERROR(__xludf.DUMMYFUNCTION("""COMPUTED_VALUE"""),"Zairul")</f>
        <v>Zairul</v>
      </c>
      <c r="N8" s="24" t="b">
        <f>IFERROR(__xludf.DUMMYFUNCTION("""COMPUTED_VALUE"""),FALSE)</f>
        <v>0</v>
      </c>
      <c r="O8" s="18" t="str">
        <f>IFERROR(__xludf.DUMMYFUNCTION("""COMPUTED_VALUE"""),"Booking.com")</f>
        <v>Booking.com</v>
      </c>
      <c r="P8" s="24">
        <f>IFERROR(__xludf.DUMMYFUNCTION("""COMPUTED_VALUE"""),9.0)</f>
        <v>9</v>
      </c>
      <c r="Q8" s="25">
        <f>IFERROR(__xludf.DUMMYFUNCTION("""COMPUTED_VALUE"""),46119.0)</f>
        <v>46119</v>
      </c>
      <c r="R8" s="24"/>
      <c r="S8" s="24" t="str">
        <f>IFERROR(__xludf.DUMMYFUNCTION("""COMPUTED_VALUE"""),"The location is near to train station and few halal restaurants nearby the hotel")</f>
        <v>The location is near to train station and few halal restaurants nearby the hotel</v>
      </c>
      <c r="T8" s="24" t="str">
        <f>IFERROR(__xludf.DUMMYFUNCTION("""COMPUTED_VALUE"""),"Room a bit small but very comfortable")</f>
        <v>Room a bit small but very comfortable</v>
      </c>
      <c r="U8" s="24" t="str">
        <f>IFERROR(__xludf.DUMMYFUNCTION("""COMPUTED_VALUE"""),"")</f>
        <v/>
      </c>
      <c r="V8" s="24" t="str">
        <f>IFERROR(__xludf.DUMMYFUNCTION("""COMPUTED_VALUE"""),"ホテルは駅に近く、周辺にはハラールレストランもいくつかあります。")</f>
        <v>ホテルは駅に近く、周辺にはハラールレストランもいくつかあります。</v>
      </c>
      <c r="W8" s="24" t="str">
        <f>IFERROR(__xludf.DUMMYFUNCTION("""COMPUTED_VALUE"""),"部屋は少し狭いですが、とても快適です。")</f>
        <v>部屋は少し狭いですが、とても快適です。</v>
      </c>
      <c r="X8" s="24" t="str">
        <f>IFERROR(__xludf.DUMMYFUNCTION("""COMPUTED_VALUE"""),"Zairul")</f>
        <v>Zairul</v>
      </c>
    </row>
    <row r="9">
      <c r="B9" s="17" t="b">
        <f>IFERROR(__xludf.DUMMYFUNCTION("""COMPUTED_VALUE"""),FALSE)</f>
        <v>0</v>
      </c>
      <c r="C9" s="18" t="str">
        <f>IFERROR(__xludf.DUMMYFUNCTION("""COMPUTED_VALUE"""),"Trip.com")</f>
        <v>Trip.com</v>
      </c>
      <c r="D9" s="5">
        <f>IFERROR(__xludf.DUMMYFUNCTION("""COMPUTED_VALUE"""),9.0)</f>
        <v>9</v>
      </c>
      <c r="E9" s="19">
        <f>IFERROR(__xludf.DUMMYFUNCTION("""COMPUTED_VALUE"""),46119.0)</f>
        <v>46119</v>
      </c>
      <c r="F9"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9" s="5"/>
      <c r="H9" s="5"/>
      <c r="I9"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9" s="5" t="str">
        <f>IFERROR(__xludf.DUMMYFUNCTION("""COMPUTED_VALUE"""),"")</f>
        <v/>
      </c>
      <c r="K9" s="24" t="str">
        <f>IFERROR(__xludf.DUMMYFUNCTION("""COMPUTED_VALUE"""),"")</f>
        <v/>
      </c>
      <c r="L9" s="24" t="str">
        <f>IFERROR(__xludf.DUMMYFUNCTION("""COMPUTED_VALUE"""),"C‍a‍n‍d‍y‍c‍y")</f>
        <v>C‍a‍n‍d‍y‍c‍y</v>
      </c>
      <c r="N9" s="24" t="b">
        <f>IFERROR(__xludf.DUMMYFUNCTION("""COMPUTED_VALUE"""),FALSE)</f>
        <v>0</v>
      </c>
      <c r="O9" s="18" t="str">
        <f>IFERROR(__xludf.DUMMYFUNCTION("""COMPUTED_VALUE"""),"Trip.com")</f>
        <v>Trip.com</v>
      </c>
      <c r="P9" s="24">
        <f>IFERROR(__xludf.DUMMYFUNCTION("""COMPUTED_VALUE"""),9.0)</f>
        <v>9</v>
      </c>
      <c r="Q9" s="25">
        <f>IFERROR(__xludf.DUMMYFUNCTION("""COMPUTED_VALUE"""),46119.0)</f>
        <v>46119</v>
      </c>
      <c r="R9"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9" s="24"/>
      <c r="T9" s="24"/>
      <c r="U9" s="24"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9" s="24" t="str">
        <f>IFERROR(__xludf.DUMMYFUNCTION("""COMPUTED_VALUE"""),"")</f>
        <v/>
      </c>
      <c r="W9" s="24" t="str">
        <f>IFERROR(__xludf.DUMMYFUNCTION("""COMPUTED_VALUE"""),"")</f>
        <v/>
      </c>
      <c r="X9" s="24" t="str">
        <f>IFERROR(__xludf.DUMMYFUNCTION("""COMPUTED_VALUE"""),"C‍a‍n‍d‍y‍c‍y")</f>
        <v>C‍a‍n‍d‍y‍c‍y</v>
      </c>
    </row>
    <row r="10">
      <c r="B10" s="17" t="b">
        <f>IFERROR(__xludf.DUMMYFUNCTION("""COMPUTED_VALUE"""),FALSE)</f>
        <v>0</v>
      </c>
      <c r="C10" s="27" t="str">
        <f>IFERROR(__xludf.DUMMYFUNCTION("""COMPUTED_VALUE"""),"Trip.com")</f>
        <v>Trip.com</v>
      </c>
      <c r="D10" s="5">
        <f>IFERROR(__xludf.DUMMYFUNCTION("""COMPUTED_VALUE"""),10.0)</f>
        <v>10</v>
      </c>
      <c r="E10" s="19">
        <f>IFERROR(__xludf.DUMMYFUNCTION("""COMPUTED_VALUE"""),46119.0)</f>
        <v>46119</v>
      </c>
      <c r="F10"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10" s="5"/>
      <c r="H10" s="21"/>
      <c r="I10" s="28"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J10" s="5" t="str">
        <f>IFERROR(__xludf.DUMMYFUNCTION("""COMPUTED_VALUE"""),"")</f>
        <v/>
      </c>
      <c r="K10" s="24" t="str">
        <f>IFERROR(__xludf.DUMMYFUNCTION("""COMPUTED_VALUE"""),"")</f>
        <v/>
      </c>
      <c r="L10" s="24" t="str">
        <f>IFERROR(__xludf.DUMMYFUNCTION("""COMPUTED_VALUE"""),"ゲ‍ス‍ト")</f>
        <v>ゲ‍ス‍ト</v>
      </c>
      <c r="N10" s="24" t="b">
        <f>IFERROR(__xludf.DUMMYFUNCTION("""COMPUTED_VALUE"""),FALSE)</f>
        <v>0</v>
      </c>
      <c r="O10" s="18" t="str">
        <f>IFERROR(__xludf.DUMMYFUNCTION("""COMPUTED_VALUE"""),"Trip.com")</f>
        <v>Trip.com</v>
      </c>
      <c r="P10" s="24">
        <f>IFERROR(__xludf.DUMMYFUNCTION("""COMPUTED_VALUE"""),10.0)</f>
        <v>10</v>
      </c>
      <c r="Q10" s="25">
        <f>IFERROR(__xludf.DUMMYFUNCTION("""COMPUTED_VALUE"""),46119.0)</f>
        <v>46119</v>
      </c>
      <c r="R10"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10" s="24"/>
      <c r="T10" s="24"/>
      <c r="U10" s="24"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V10" s="24" t="str">
        <f>IFERROR(__xludf.DUMMYFUNCTION("""COMPUTED_VALUE"""),"")</f>
        <v/>
      </c>
      <c r="W10" s="24" t="str">
        <f>IFERROR(__xludf.DUMMYFUNCTION("""COMPUTED_VALUE"""),"")</f>
        <v/>
      </c>
      <c r="X10" s="24" t="str">
        <f>IFERROR(__xludf.DUMMYFUNCTION("""COMPUTED_VALUE"""),"ゲ‍ス‍ト")</f>
        <v>ゲ‍ス‍ト</v>
      </c>
    </row>
    <row r="11">
      <c r="B11" s="17" t="b">
        <f>IFERROR(__xludf.DUMMYFUNCTION("""COMPUTED_VALUE"""),FALSE)</f>
        <v>0</v>
      </c>
      <c r="C11" s="18" t="str">
        <f>IFERROR(__xludf.DUMMYFUNCTION("""COMPUTED_VALUE"""),"Trip.com")</f>
        <v>Trip.com</v>
      </c>
      <c r="D11" s="5">
        <f>IFERROR(__xludf.DUMMYFUNCTION("""COMPUTED_VALUE"""),10.0)</f>
        <v>10</v>
      </c>
      <c r="E11" s="19">
        <f>IFERROR(__xludf.DUMMYFUNCTION("""COMPUTED_VALUE"""),46119.0)</f>
        <v>46119</v>
      </c>
      <c r="F11"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11" s="5"/>
      <c r="H11" s="5"/>
      <c r="I11"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11" s="5" t="str">
        <f>IFERROR(__xludf.DUMMYFUNCTION("""COMPUTED_VALUE"""),"")</f>
        <v/>
      </c>
      <c r="K11" s="24" t="str">
        <f>IFERROR(__xludf.DUMMYFUNCTION("""COMPUTED_VALUE"""),"")</f>
        <v/>
      </c>
      <c r="L11" s="24" t="str">
        <f>IFERROR(__xludf.DUMMYFUNCTION("""COMPUTED_VALUE"""),"ゲ‍ス‍ト")</f>
        <v>ゲ‍ス‍ト</v>
      </c>
      <c r="N11" s="24" t="b">
        <f>IFERROR(__xludf.DUMMYFUNCTION("""COMPUTED_VALUE"""),FALSE)</f>
        <v>0</v>
      </c>
      <c r="O11" s="18" t="str">
        <f>IFERROR(__xludf.DUMMYFUNCTION("""COMPUTED_VALUE"""),"Trip.com")</f>
        <v>Trip.com</v>
      </c>
      <c r="P11" s="24">
        <f>IFERROR(__xludf.DUMMYFUNCTION("""COMPUTED_VALUE"""),10.0)</f>
        <v>10</v>
      </c>
      <c r="Q11" s="25">
        <f>IFERROR(__xludf.DUMMYFUNCTION("""COMPUTED_VALUE"""),46119.0)</f>
        <v>46119</v>
      </c>
      <c r="R11"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11" s="24"/>
      <c r="T11" s="24"/>
      <c r="U11" s="24"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11" s="24" t="str">
        <f>IFERROR(__xludf.DUMMYFUNCTION("""COMPUTED_VALUE"""),"")</f>
        <v/>
      </c>
      <c r="W11" s="24" t="str">
        <f>IFERROR(__xludf.DUMMYFUNCTION("""COMPUTED_VALUE"""),"")</f>
        <v/>
      </c>
      <c r="X11" s="24" t="str">
        <f>IFERROR(__xludf.DUMMYFUNCTION("""COMPUTED_VALUE"""),"ゲ‍ス‍ト")</f>
        <v>ゲ‍ス‍ト</v>
      </c>
    </row>
    <row r="12">
      <c r="B12" s="17" t="b">
        <f>IFERROR(__xludf.DUMMYFUNCTION("""COMPUTED_VALUE"""),FALSE)</f>
        <v>0</v>
      </c>
      <c r="C12" s="18" t="str">
        <f>IFERROR(__xludf.DUMMYFUNCTION("""COMPUTED_VALUE"""),"Trip.com")</f>
        <v>Trip.com</v>
      </c>
      <c r="D12" s="5">
        <f>IFERROR(__xludf.DUMMYFUNCTION("""COMPUTED_VALUE"""),9.0)</f>
        <v>9</v>
      </c>
      <c r="E12" s="19">
        <f>IFERROR(__xludf.DUMMYFUNCTION("""COMPUTED_VALUE"""),46119.0)</f>
        <v>46119</v>
      </c>
      <c r="F12"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12" s="5"/>
      <c r="H12" s="5"/>
      <c r="I12"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12" s="5" t="str">
        <f>IFERROR(__xludf.DUMMYFUNCTION("""COMPUTED_VALUE"""),"")</f>
        <v/>
      </c>
      <c r="K12" s="24" t="str">
        <f>IFERROR(__xludf.DUMMYFUNCTION("""COMPUTED_VALUE"""),"")</f>
        <v/>
      </c>
      <c r="L12" s="24" t="str">
        <f>IFERROR(__xludf.DUMMYFUNCTION("""COMPUTED_VALUE"""),"D‍C‍h‍a‍n")</f>
        <v>D‍C‍h‍a‍n</v>
      </c>
      <c r="N12" s="24" t="b">
        <f>IFERROR(__xludf.DUMMYFUNCTION("""COMPUTED_VALUE"""),FALSE)</f>
        <v>0</v>
      </c>
      <c r="O12" s="18" t="str">
        <f>IFERROR(__xludf.DUMMYFUNCTION("""COMPUTED_VALUE"""),"Trip.com")</f>
        <v>Trip.com</v>
      </c>
      <c r="P12" s="24">
        <f>IFERROR(__xludf.DUMMYFUNCTION("""COMPUTED_VALUE"""),9.0)</f>
        <v>9</v>
      </c>
      <c r="Q12" s="25">
        <f>IFERROR(__xludf.DUMMYFUNCTION("""COMPUTED_VALUE"""),46119.0)</f>
        <v>46119</v>
      </c>
      <c r="R12"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12" s="24"/>
      <c r="T12" s="24"/>
      <c r="U12" s="24"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12" s="24" t="str">
        <f>IFERROR(__xludf.DUMMYFUNCTION("""COMPUTED_VALUE"""),"")</f>
        <v/>
      </c>
      <c r="W12" s="24" t="str">
        <f>IFERROR(__xludf.DUMMYFUNCTION("""COMPUTED_VALUE"""),"")</f>
        <v/>
      </c>
      <c r="X12" s="24" t="str">
        <f>IFERROR(__xludf.DUMMYFUNCTION("""COMPUTED_VALUE"""),"D‍C‍h‍a‍n")</f>
        <v>D‍C‍h‍a‍n</v>
      </c>
    </row>
    <row r="13">
      <c r="B13" s="17" t="b">
        <f>IFERROR(__xludf.DUMMYFUNCTION("""COMPUTED_VALUE"""),FALSE)</f>
        <v>0</v>
      </c>
      <c r="C13" s="18" t="str">
        <f>IFERROR(__xludf.DUMMYFUNCTION("""COMPUTED_VALUE"""),"Trip.com")</f>
        <v>Trip.com</v>
      </c>
      <c r="D13" s="5">
        <f>IFERROR(__xludf.DUMMYFUNCTION("""COMPUTED_VALUE"""),9.0)</f>
        <v>9</v>
      </c>
      <c r="E13" s="19">
        <f>IFERROR(__xludf.DUMMYFUNCTION("""COMPUTED_VALUE"""),46118.0)</f>
        <v>46118</v>
      </c>
      <c r="F13"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13" s="5"/>
      <c r="H13" s="5"/>
      <c r="I13"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13" s="29" t="str">
        <f>IFERROR(__xludf.DUMMYFUNCTION("""COMPUTED_VALUE"""),"")</f>
        <v/>
      </c>
      <c r="K13" s="24" t="str">
        <f>IFERROR(__xludf.DUMMYFUNCTION("""COMPUTED_VALUE"""),"")</f>
        <v/>
      </c>
      <c r="L13" s="24" t="str">
        <f>IFERROR(__xludf.DUMMYFUNCTION("""COMPUTED_VALUE"""),"ゲ‍ス‍ト")</f>
        <v>ゲ‍ス‍ト</v>
      </c>
      <c r="N13" s="24" t="b">
        <f>IFERROR(__xludf.DUMMYFUNCTION("""COMPUTED_VALUE"""),FALSE)</f>
        <v>0</v>
      </c>
      <c r="O13" s="18" t="str">
        <f>IFERROR(__xludf.DUMMYFUNCTION("""COMPUTED_VALUE"""),"Trip.com")</f>
        <v>Trip.com</v>
      </c>
      <c r="P13" s="24">
        <f>IFERROR(__xludf.DUMMYFUNCTION("""COMPUTED_VALUE"""),9.0)</f>
        <v>9</v>
      </c>
      <c r="Q13" s="25">
        <f>IFERROR(__xludf.DUMMYFUNCTION("""COMPUTED_VALUE"""),46118.0)</f>
        <v>46118</v>
      </c>
      <c r="R13"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13" s="24"/>
      <c r="T13" s="24"/>
      <c r="U13"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13" s="24" t="str">
        <f>IFERROR(__xludf.DUMMYFUNCTION("""COMPUTED_VALUE"""),"")</f>
        <v/>
      </c>
      <c r="W13" s="24" t="str">
        <f>IFERROR(__xludf.DUMMYFUNCTION("""COMPUTED_VALUE"""),"")</f>
        <v/>
      </c>
      <c r="X13" s="24" t="str">
        <f>IFERROR(__xludf.DUMMYFUNCTION("""COMPUTED_VALUE"""),"ゲ‍ス‍ト")</f>
        <v>ゲ‍ス‍ト</v>
      </c>
    </row>
    <row r="14">
      <c r="B14" s="17" t="b">
        <f>IFERROR(__xludf.DUMMYFUNCTION("""COMPUTED_VALUE"""),FALSE)</f>
        <v>0</v>
      </c>
      <c r="C14" s="18" t="str">
        <f>IFERROR(__xludf.DUMMYFUNCTION("""COMPUTED_VALUE"""),"Booking.com")</f>
        <v>Booking.com</v>
      </c>
      <c r="D14" s="5">
        <f>IFERROR(__xludf.DUMMYFUNCTION("""COMPUTED_VALUE"""),10.0)</f>
        <v>10</v>
      </c>
      <c r="E14" s="19">
        <f>IFERROR(__xludf.DUMMYFUNCTION("""COMPUTED_VALUE"""),46118.0)</f>
        <v>46118</v>
      </c>
      <c r="F14" s="5"/>
      <c r="G14"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14" s="5" t="str">
        <f>IFERROR(__xludf.DUMMYFUNCTION("""COMPUTED_VALUE"""),"无")</f>
        <v>无</v>
      </c>
      <c r="I14" s="5" t="str">
        <f>IFERROR(__xludf.DUMMYFUNCTION("""COMPUTED_VALUE"""),"")</f>
        <v/>
      </c>
      <c r="J14"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14" s="24" t="str">
        <f>IFERROR(__xludf.DUMMYFUNCTION("""COMPUTED_VALUE"""),"なし")</f>
        <v>なし</v>
      </c>
      <c r="L14" s="24" t="str">
        <f>IFERROR(__xludf.DUMMYFUNCTION("""COMPUTED_VALUE"""),"Xiaodong")</f>
        <v>Xiaodong</v>
      </c>
      <c r="N14" s="24" t="b">
        <f>IFERROR(__xludf.DUMMYFUNCTION("""COMPUTED_VALUE"""),FALSE)</f>
        <v>0</v>
      </c>
      <c r="O14" s="18" t="str">
        <f>IFERROR(__xludf.DUMMYFUNCTION("""COMPUTED_VALUE"""),"Booking.com")</f>
        <v>Booking.com</v>
      </c>
      <c r="P14" s="24">
        <f>IFERROR(__xludf.DUMMYFUNCTION("""COMPUTED_VALUE"""),10.0)</f>
        <v>10</v>
      </c>
      <c r="Q14" s="25">
        <f>IFERROR(__xludf.DUMMYFUNCTION("""COMPUTED_VALUE"""),46118.0)</f>
        <v>46118</v>
      </c>
      <c r="R14" s="24"/>
      <c r="S14"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14" s="24" t="str">
        <f>IFERROR(__xludf.DUMMYFUNCTION("""COMPUTED_VALUE"""),"无")</f>
        <v>无</v>
      </c>
      <c r="U14" s="24" t="str">
        <f>IFERROR(__xludf.DUMMYFUNCTION("""COMPUTED_VALUE"""),"")</f>
        <v/>
      </c>
      <c r="V14"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14" s="24" t="str">
        <f>IFERROR(__xludf.DUMMYFUNCTION("""COMPUTED_VALUE"""),"なし")</f>
        <v>なし</v>
      </c>
      <c r="X14" s="24" t="str">
        <f>IFERROR(__xludf.DUMMYFUNCTION("""COMPUTED_VALUE"""),"Xiaodong")</f>
        <v>Xiaodong</v>
      </c>
    </row>
    <row r="15">
      <c r="B15" s="17" t="b">
        <f>IFERROR(__xludf.DUMMYFUNCTION("""COMPUTED_VALUE"""),FALSE)</f>
        <v>0</v>
      </c>
      <c r="C15" s="18" t="str">
        <f>IFERROR(__xludf.DUMMYFUNCTION("""COMPUTED_VALUE"""),"Booking.com")</f>
        <v>Booking.com</v>
      </c>
      <c r="D15" s="5">
        <f>IFERROR(__xludf.DUMMYFUNCTION("""COMPUTED_VALUE"""),10.0)</f>
        <v>10</v>
      </c>
      <c r="E15" s="19">
        <f>IFERROR(__xludf.DUMMYFUNCTION("""COMPUTED_VALUE"""),46118.0)</f>
        <v>46118</v>
      </c>
      <c r="F15" s="5"/>
      <c r="G15"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15" s="5" t="str">
        <f>IFERROR(__xludf.DUMMYFUNCTION("""COMPUTED_VALUE"""),"特にありません。")</f>
        <v>特にありません。</v>
      </c>
      <c r="I15" s="5" t="str">
        <f>IFERROR(__xludf.DUMMYFUNCTION("""COMPUTED_VALUE"""),"")</f>
        <v/>
      </c>
      <c r="J15"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15" s="24" t="str">
        <f>IFERROR(__xludf.DUMMYFUNCTION("""COMPUTED_VALUE"""),"特にありません。")</f>
        <v>特にありません。</v>
      </c>
      <c r="L15" s="24" t="str">
        <f>IFERROR(__xludf.DUMMYFUNCTION("""COMPUTED_VALUE"""),"Hiroshi")</f>
        <v>Hiroshi</v>
      </c>
      <c r="N15" s="24" t="b">
        <f>IFERROR(__xludf.DUMMYFUNCTION("""COMPUTED_VALUE"""),FALSE)</f>
        <v>0</v>
      </c>
      <c r="O15" s="18" t="str">
        <f>IFERROR(__xludf.DUMMYFUNCTION("""COMPUTED_VALUE"""),"Booking.com")</f>
        <v>Booking.com</v>
      </c>
      <c r="P15" s="24">
        <f>IFERROR(__xludf.DUMMYFUNCTION("""COMPUTED_VALUE"""),10.0)</f>
        <v>10</v>
      </c>
      <c r="Q15" s="25">
        <f>IFERROR(__xludf.DUMMYFUNCTION("""COMPUTED_VALUE"""),46118.0)</f>
        <v>46118</v>
      </c>
      <c r="R15" s="24"/>
      <c r="S15"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15" s="24" t="str">
        <f>IFERROR(__xludf.DUMMYFUNCTION("""COMPUTED_VALUE"""),"特にありません。")</f>
        <v>特にありません。</v>
      </c>
      <c r="U15" s="24" t="str">
        <f>IFERROR(__xludf.DUMMYFUNCTION("""COMPUTED_VALUE"""),"")</f>
        <v/>
      </c>
      <c r="V15"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15" s="24" t="str">
        <f>IFERROR(__xludf.DUMMYFUNCTION("""COMPUTED_VALUE"""),"特にありません。")</f>
        <v>特にありません。</v>
      </c>
      <c r="X15" s="24" t="str">
        <f>IFERROR(__xludf.DUMMYFUNCTION("""COMPUTED_VALUE"""),"Hiroshi")</f>
        <v>Hiroshi</v>
      </c>
    </row>
    <row r="16">
      <c r="B16" s="17" t="b">
        <f>IFERROR(__xludf.DUMMYFUNCTION("""COMPUTED_VALUE"""),FALSE)</f>
        <v>0</v>
      </c>
      <c r="C16" s="24" t="str">
        <f>IFERROR(__xludf.DUMMYFUNCTION("""COMPUTED_VALUE"""),"Google")</f>
        <v>Google</v>
      </c>
      <c r="D16" s="5">
        <f>IFERROR(__xludf.DUMMYFUNCTION("""COMPUTED_VALUE"""),3.0)</f>
        <v>3</v>
      </c>
      <c r="E16" s="19">
        <f>IFERROR(__xludf.DUMMYFUNCTION("""COMPUTED_VALUE"""),46118.0)</f>
        <v>46118</v>
      </c>
      <c r="F16" s="5"/>
      <c r="G16" s="5"/>
      <c r="H16" s="5"/>
      <c r="I16" s="5" t="str">
        <f>IFERROR(__xludf.DUMMYFUNCTION("""COMPUTED_VALUE"""),"")</f>
        <v/>
      </c>
      <c r="J16" s="5" t="str">
        <f>IFERROR(__xludf.DUMMYFUNCTION("""COMPUTED_VALUE"""),"")</f>
        <v/>
      </c>
      <c r="K16" s="24" t="str">
        <f>IFERROR(__xludf.DUMMYFUNCTION("""COMPUTED_VALUE"""),"")</f>
        <v/>
      </c>
      <c r="L16" s="24" t="str">
        <f>IFERROR(__xludf.DUMMYFUNCTION("""COMPUTED_VALUE"""),"ぽくくぽ")</f>
        <v>ぽくくぽ</v>
      </c>
      <c r="N16" s="24" t="b">
        <f>IFERROR(__xludf.DUMMYFUNCTION("""COMPUTED_VALUE"""),FALSE)</f>
        <v>0</v>
      </c>
      <c r="O16" s="24" t="str">
        <f>IFERROR(__xludf.DUMMYFUNCTION("""COMPUTED_VALUE"""),"Google")</f>
        <v>Google</v>
      </c>
      <c r="P16" s="24">
        <f>IFERROR(__xludf.DUMMYFUNCTION("""COMPUTED_VALUE"""),3.0)</f>
        <v>3</v>
      </c>
      <c r="Q16" s="25">
        <f>IFERROR(__xludf.DUMMYFUNCTION("""COMPUTED_VALUE"""),46118.0)</f>
        <v>46118</v>
      </c>
      <c r="R16" s="24"/>
      <c r="S16" s="24"/>
      <c r="T16" s="24"/>
      <c r="U16" s="24" t="str">
        <f>IFERROR(__xludf.DUMMYFUNCTION("""COMPUTED_VALUE"""),"")</f>
        <v/>
      </c>
      <c r="V16" s="24" t="str">
        <f>IFERROR(__xludf.DUMMYFUNCTION("""COMPUTED_VALUE"""),"")</f>
        <v/>
      </c>
      <c r="W16" s="24" t="str">
        <f>IFERROR(__xludf.DUMMYFUNCTION("""COMPUTED_VALUE"""),"")</f>
        <v/>
      </c>
      <c r="X16" s="24" t="str">
        <f>IFERROR(__xludf.DUMMYFUNCTION("""COMPUTED_VALUE"""),"ぽくくぽ")</f>
        <v>ぽくくぽ</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IFERROR(__xludf.DUMMYFUNCTION("""COMPUTED_VALUE"""),46118.0)</f>
        <v>46118</v>
      </c>
      <c r="F17" s="5" t="str">
        <f>IFERROR(__xludf.DUMMYFUNCTION("""COMPUTED_VALUE"""),"交通方便，附近很多食店")</f>
        <v>交通方便，附近很多食店</v>
      </c>
      <c r="G17" s="5"/>
      <c r="H17" s="5"/>
      <c r="I17" s="5" t="str">
        <f>IFERROR(__xludf.DUMMYFUNCTION("""COMPUTED_VALUE"""),"交通の便が良く、近くにレストランも多数あります。")</f>
        <v>交通の便が良く、近くにレストランも多数あります。</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IFERROR(__xludf.DUMMYFUNCTION("""COMPUTED_VALUE"""),46118.0)</f>
        <v>46118</v>
      </c>
      <c r="R17" s="24" t="str">
        <f>IFERROR(__xludf.DUMMYFUNCTION("""COMPUTED_VALUE"""),"交通方便，附近很多食店")</f>
        <v>交通方便，附近很多食店</v>
      </c>
      <c r="S17" s="24"/>
      <c r="T17" s="24"/>
      <c r="U17" s="24" t="str">
        <f>IFERROR(__xludf.DUMMYFUNCTION("""COMPUTED_VALUE"""),"交通の便が良く、近くにレストランも多数あります。")</f>
        <v>交通の便が良く、近くにレストランも多数あります。</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IFERROR(__xludf.DUMMYFUNCTION("""COMPUTED_VALUE"""),"Trip.com")</f>
        <v>Trip.com</v>
      </c>
      <c r="D18" s="5">
        <f>IFERROR(__xludf.DUMMYFUNCTION("""COMPUTED_VALUE"""),10.0)</f>
        <v>10</v>
      </c>
      <c r="E18" s="19">
        <f>IFERROR(__xludf.DUMMYFUNCTION("""COMPUTED_VALUE"""),46118.0)</f>
        <v>46118</v>
      </c>
      <c r="F18" s="5" t="str">
        <f>IFERROR(__xludf.DUMMYFUNCTION("""COMPUTED_VALUE"""),"服務良好，態度優良，地理位置良好，衛生不錯。")</f>
        <v>服務良好，態度優良，地理位置良好，衛生不錯。</v>
      </c>
      <c r="G18" s="5"/>
      <c r="H18" s="5"/>
      <c r="I18" s="5" t="str">
        <f>IFERROR(__xludf.DUMMYFUNCTION("""COMPUTED_VALUE"""),"サービスも良く、スタッフも親切で、立地も良く、衛生状態も良好でした。")</f>
        <v>サービスも良く、スタッフも親切で、立地も良く、衛生状態も良好でした。</v>
      </c>
      <c r="J18" s="5" t="str">
        <f>IFERROR(__xludf.DUMMYFUNCTION("""COMPUTED_VALUE"""),"")</f>
        <v/>
      </c>
      <c r="K18" s="24" t="str">
        <f>IFERROR(__xludf.DUMMYFUNCTION("""COMPUTED_VALUE"""),"")</f>
        <v/>
      </c>
      <c r="L18" s="24" t="str">
        <f>IFERROR(__xludf.DUMMYFUNCTION("""COMPUTED_VALUE"""),"C‍h‍a‍k‍c‍h‍a‍k‍1‍1‍2")</f>
        <v>C‍h‍a‍k‍c‍h‍a‍k‍1‍1‍2</v>
      </c>
      <c r="N18" s="24" t="b">
        <f>IFERROR(__xludf.DUMMYFUNCTION("""COMPUTED_VALUE"""),FALSE)</f>
        <v>0</v>
      </c>
      <c r="O18" s="18" t="str">
        <f>IFERROR(__xludf.DUMMYFUNCTION("""COMPUTED_VALUE"""),"Trip.com")</f>
        <v>Trip.com</v>
      </c>
      <c r="P18" s="24">
        <f>IFERROR(__xludf.DUMMYFUNCTION("""COMPUTED_VALUE"""),10.0)</f>
        <v>10</v>
      </c>
      <c r="Q18" s="25">
        <f>IFERROR(__xludf.DUMMYFUNCTION("""COMPUTED_VALUE"""),46118.0)</f>
        <v>46118</v>
      </c>
      <c r="R18" s="24" t="str">
        <f>IFERROR(__xludf.DUMMYFUNCTION("""COMPUTED_VALUE"""),"服務良好，態度優良，地理位置良好，衛生不錯。")</f>
        <v>服務良好，態度優良，地理位置良好，衛生不錯。</v>
      </c>
      <c r="S18" s="24"/>
      <c r="T18" s="24"/>
      <c r="U18" s="24" t="str">
        <f>IFERROR(__xludf.DUMMYFUNCTION("""COMPUTED_VALUE"""),"サービスも良く、スタッフも親切で、立地も良く、衛生状態も良好でした。")</f>
        <v>サービスも良く、スタッフも親切で、立地も良く、衛生状態も良好でした。</v>
      </c>
      <c r="V18" s="24" t="str">
        <f>IFERROR(__xludf.DUMMYFUNCTION("""COMPUTED_VALUE"""),"")</f>
        <v/>
      </c>
      <c r="W18" s="24" t="str">
        <f>IFERROR(__xludf.DUMMYFUNCTION("""COMPUTED_VALUE"""),"")</f>
        <v/>
      </c>
      <c r="X18" s="24" t="str">
        <f>IFERROR(__xludf.DUMMYFUNCTION("""COMPUTED_VALUE"""),"C‍h‍a‍k‍c‍h‍a‍k‍1‍1‍2")</f>
        <v>C‍h‍a‍k‍c‍h‍a‍k‍1‍1‍2</v>
      </c>
    </row>
    <row r="19">
      <c r="B19" s="17" t="b">
        <f>IFERROR(__xludf.DUMMYFUNCTION("""COMPUTED_VALUE"""),FALSE)</f>
        <v>0</v>
      </c>
      <c r="C19" s="18" t="str">
        <f>IFERROR(__xludf.DUMMYFUNCTION("""COMPUTED_VALUE"""),"Trip.com")</f>
        <v>Trip.com</v>
      </c>
      <c r="D19" s="5">
        <f>IFERROR(__xludf.DUMMYFUNCTION("""COMPUTED_VALUE"""),10.0)</f>
        <v>10</v>
      </c>
      <c r="E19" s="19">
        <f>IFERROR(__xludf.DUMMYFUNCTION("""COMPUTED_VALUE"""),46117.0)</f>
        <v>46117</v>
      </c>
      <c r="F19"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19" s="5"/>
      <c r="H19" s="5"/>
      <c r="I19"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19" s="5" t="str">
        <f>IFERROR(__xludf.DUMMYFUNCTION("""COMPUTED_VALUE"""),"")</f>
        <v/>
      </c>
      <c r="K19" s="24" t="str">
        <f>IFERROR(__xludf.DUMMYFUNCTION("""COMPUTED_VALUE"""),"")</f>
        <v/>
      </c>
      <c r="L19" s="24" t="str">
        <f>IFERROR(__xludf.DUMMYFUNCTION("""COMPUTED_VALUE"""),"ゲ‍ス‍ト")</f>
        <v>ゲ‍ス‍ト</v>
      </c>
      <c r="N19" s="24" t="b">
        <f>IFERROR(__xludf.DUMMYFUNCTION("""COMPUTED_VALUE"""),FALSE)</f>
        <v>0</v>
      </c>
      <c r="O19" s="18" t="str">
        <f>IFERROR(__xludf.DUMMYFUNCTION("""COMPUTED_VALUE"""),"Trip.com")</f>
        <v>Trip.com</v>
      </c>
      <c r="P19" s="24">
        <f>IFERROR(__xludf.DUMMYFUNCTION("""COMPUTED_VALUE"""),10.0)</f>
        <v>10</v>
      </c>
      <c r="Q19" s="25">
        <f>IFERROR(__xludf.DUMMYFUNCTION("""COMPUTED_VALUE"""),46117.0)</f>
        <v>46117</v>
      </c>
      <c r="R19"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19" s="24"/>
      <c r="T19" s="24"/>
      <c r="U19"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19" s="24" t="str">
        <f>IFERROR(__xludf.DUMMYFUNCTION("""COMPUTED_VALUE"""),"")</f>
        <v/>
      </c>
      <c r="W19" s="24" t="str">
        <f>IFERROR(__xludf.DUMMYFUNCTION("""COMPUTED_VALUE"""),"")</f>
        <v/>
      </c>
      <c r="X19" s="24" t="str">
        <f>IFERROR(__xludf.DUMMYFUNCTION("""COMPUTED_VALUE"""),"ゲ‍ス‍ト")</f>
        <v>ゲ‍ス‍ト</v>
      </c>
    </row>
    <row r="20">
      <c r="B20" s="17" t="b">
        <f>IFERROR(__xludf.DUMMYFUNCTION("""COMPUTED_VALUE"""),FALSE)</f>
        <v>0</v>
      </c>
      <c r="C20" s="18" t="str">
        <f>IFERROR(__xludf.DUMMYFUNCTION("""COMPUTED_VALUE"""),"Trip.com")</f>
        <v>Trip.com</v>
      </c>
      <c r="D20" s="5">
        <f>IFERROR(__xludf.DUMMYFUNCTION("""COMPUTED_VALUE"""),10.0)</f>
        <v>10</v>
      </c>
      <c r="E20" s="19">
        <f>IFERROR(__xludf.DUMMYFUNCTION("""COMPUTED_VALUE"""),46117.0)</f>
        <v>46117</v>
      </c>
      <c r="F20" s="5" t="str">
        <f>IFERROR(__xludf.DUMMYFUNCTION("""COMPUTED_VALUE"""),"地點方便近JR , 近地鐵站，有好多食肆，酒店乾淨，服務態度非常好！")</f>
        <v>地點方便近JR , 近地鐵站，有好多食肆，酒店乾淨，服務態度非常好！</v>
      </c>
      <c r="G20" s="5"/>
      <c r="H20" s="5"/>
      <c r="I20"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20" s="5" t="str">
        <f>IFERROR(__xludf.DUMMYFUNCTION("""COMPUTED_VALUE"""),"")</f>
        <v/>
      </c>
      <c r="K20" s="24" t="str">
        <f>IFERROR(__xludf.DUMMYFUNCTION("""COMPUTED_VALUE"""),"")</f>
        <v/>
      </c>
      <c r="L20" s="24" t="str">
        <f>IFERROR(__xludf.DUMMYFUNCTION("""COMPUTED_VALUE"""),"ゲ‍ス‍ト")</f>
        <v>ゲ‍ス‍ト</v>
      </c>
      <c r="N20" s="24" t="b">
        <f>IFERROR(__xludf.DUMMYFUNCTION("""COMPUTED_VALUE"""),FALSE)</f>
        <v>0</v>
      </c>
      <c r="O20" s="18" t="str">
        <f>IFERROR(__xludf.DUMMYFUNCTION("""COMPUTED_VALUE"""),"Trip.com")</f>
        <v>Trip.com</v>
      </c>
      <c r="P20" s="24">
        <f>IFERROR(__xludf.DUMMYFUNCTION("""COMPUTED_VALUE"""),10.0)</f>
        <v>10</v>
      </c>
      <c r="Q20" s="25">
        <f>IFERROR(__xludf.DUMMYFUNCTION("""COMPUTED_VALUE"""),46117.0)</f>
        <v>46117</v>
      </c>
      <c r="R20" s="24" t="str">
        <f>IFERROR(__xludf.DUMMYFUNCTION("""COMPUTED_VALUE"""),"地點方便近JR , 近地鐵站，有好多食肆，酒店乾淨，服務態度非常好！")</f>
        <v>地點方便近JR , 近地鐵站，有好多食肆，酒店乾淨，服務態度非常好！</v>
      </c>
      <c r="S20" s="24"/>
      <c r="T20" s="24"/>
      <c r="U20"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20" s="24" t="str">
        <f>IFERROR(__xludf.DUMMYFUNCTION("""COMPUTED_VALUE"""),"")</f>
        <v/>
      </c>
      <c r="W20" s="24" t="str">
        <f>IFERROR(__xludf.DUMMYFUNCTION("""COMPUTED_VALUE"""),"")</f>
        <v/>
      </c>
      <c r="X20" s="24" t="str">
        <f>IFERROR(__xludf.DUMMYFUNCTION("""COMPUTED_VALUE"""),"ゲ‍ス‍ト")</f>
        <v>ゲ‍ス‍ト</v>
      </c>
    </row>
    <row r="21">
      <c r="B21" s="17" t="b">
        <f>IFERROR(__xludf.DUMMYFUNCTION("""COMPUTED_VALUE"""),FALSE)</f>
        <v>0</v>
      </c>
      <c r="C21" s="18" t="str">
        <f>IFERROR(__xludf.DUMMYFUNCTION("""COMPUTED_VALUE"""),"Trip.com")</f>
        <v>Trip.com</v>
      </c>
      <c r="D21" s="5">
        <f>IFERROR(__xludf.DUMMYFUNCTION("""COMPUTED_VALUE"""),10.0)</f>
        <v>10</v>
      </c>
      <c r="E21" s="19">
        <f>IFERROR(__xludf.DUMMYFUNCTION("""COMPUTED_VALUE"""),46117.0)</f>
        <v>46117</v>
      </c>
      <c r="F21"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21" s="5"/>
      <c r="H21" s="5"/>
      <c r="I21" s="5" t="str">
        <f>IFERROR(__xludf.DUMMYFUNCTION("""COMPUTED_VALUE"""),"部屋は清潔で整頓されていて、28インチのスーツケース2個も楽に開けられました。スタッフはとても親切で対応も良かったです。料金に見合った素晴らしいホテルだと思います。錦糸町にもとても近く、周辺にはたくさんの飲食店があります。")</f>
        <v>部屋は清潔で整頓されていて、28インチのスーツケース2個も楽に開けられました。スタッフはとても親切で対応も良かったです。料金に見合った素晴らしいホテルだと思います。錦糸町にもとても近く、周辺にはたくさんの飲食店があります。</v>
      </c>
      <c r="J21" s="5" t="str">
        <f>IFERROR(__xludf.DUMMYFUNCTION("""COMPUTED_VALUE"""),"")</f>
        <v/>
      </c>
      <c r="K21" s="24" t="str">
        <f>IFERROR(__xludf.DUMMYFUNCTION("""COMPUTED_VALUE"""),"")</f>
        <v/>
      </c>
      <c r="L21" s="24" t="str">
        <f>IFERROR(__xludf.DUMMYFUNCTION("""COMPUTED_VALUE"""),"ゲ‍ス‍ト")</f>
        <v>ゲ‍ス‍ト</v>
      </c>
      <c r="N21" s="24" t="b">
        <f>IFERROR(__xludf.DUMMYFUNCTION("""COMPUTED_VALUE"""),FALSE)</f>
        <v>0</v>
      </c>
      <c r="O21" s="18" t="str">
        <f>IFERROR(__xludf.DUMMYFUNCTION("""COMPUTED_VALUE"""),"Trip.com")</f>
        <v>Trip.com</v>
      </c>
      <c r="P21" s="24">
        <f>IFERROR(__xludf.DUMMYFUNCTION("""COMPUTED_VALUE"""),10.0)</f>
        <v>10</v>
      </c>
      <c r="Q21" s="25">
        <f>IFERROR(__xludf.DUMMYFUNCTION("""COMPUTED_VALUE"""),46117.0)</f>
        <v>46117</v>
      </c>
      <c r="R21"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21" s="24"/>
      <c r="T21" s="24"/>
      <c r="U21" s="24" t="str">
        <f>IFERROR(__xludf.DUMMYFUNCTION("""COMPUTED_VALUE"""),"部屋は清潔で整頓されていて、28インチのスーツケース2個も楽に開けられました。スタッフはとても親切で対応も良かったです。料金に見合った素晴らしいホテルだと思います。錦糸町にもとても近く、周辺にはたくさんの飲食店があります。")</f>
        <v>部屋は清潔で整頓されていて、28インチのスーツケース2個も楽に開けられました。スタッフはとても親切で対応も良かったです。料金に見合った素晴らしいホテルだと思います。錦糸町にもとても近く、周辺にはたくさんの飲食店があります。</v>
      </c>
      <c r="V21" s="24" t="str">
        <f>IFERROR(__xludf.DUMMYFUNCTION("""COMPUTED_VALUE"""),"")</f>
        <v/>
      </c>
      <c r="W21" s="24" t="str">
        <f>IFERROR(__xludf.DUMMYFUNCTION("""COMPUTED_VALUE"""),"")</f>
        <v/>
      </c>
      <c r="X21" s="24" t="str">
        <f>IFERROR(__xludf.DUMMYFUNCTION("""COMPUTED_VALUE"""),"ゲ‍ス‍ト")</f>
        <v>ゲ‍ス‍ト</v>
      </c>
    </row>
    <row r="22">
      <c r="B22" s="17" t="b">
        <f>IFERROR(__xludf.DUMMYFUNCTION("""COMPUTED_VALUE"""),FALSE)</f>
        <v>0</v>
      </c>
      <c r="C22" s="18" t="str">
        <f>IFERROR(__xludf.DUMMYFUNCTION("""COMPUTED_VALUE"""),"Trip.com")</f>
        <v>Trip.com</v>
      </c>
      <c r="D22" s="5">
        <f>IFERROR(__xludf.DUMMYFUNCTION("""COMPUTED_VALUE"""),10.0)</f>
        <v>10</v>
      </c>
      <c r="E22" s="19">
        <f>IFERROR(__xludf.DUMMYFUNCTION("""COMPUTED_VALUE"""),46116.0)</f>
        <v>46116</v>
      </c>
      <c r="F22" s="5" t="str">
        <f>IFERROR(__xludf.DUMMYFUNCTION("""COMPUTED_VALUE"""),"Mantappp")</f>
        <v>Mantappp</v>
      </c>
      <c r="G22" s="5"/>
      <c r="H22" s="5"/>
      <c r="I22" s="5" t="str">
        <f>IFERROR(__xludf.DUMMYFUNCTION("""COMPUTED_VALUE"""),"素晴らしい")</f>
        <v>素晴らしい</v>
      </c>
      <c r="J22" s="5" t="str">
        <f>IFERROR(__xludf.DUMMYFUNCTION("""COMPUTED_VALUE"""),"")</f>
        <v/>
      </c>
      <c r="K22" s="24" t="str">
        <f>IFERROR(__xludf.DUMMYFUNCTION("""COMPUTED_VALUE"""),"")</f>
        <v/>
      </c>
      <c r="L22" s="24" t="str">
        <f>IFERROR(__xludf.DUMMYFUNCTION("""COMPUTED_VALUE"""),"A‍N‍D‍R‍E‍ ‍Y‍U‍Z‍D‍I‍A‍N‍T‍A‍R‍A")</f>
        <v>A‍N‍D‍R‍E‍ ‍Y‍U‍Z‍D‍I‍A‍N‍T‍A‍R‍A</v>
      </c>
      <c r="N22" s="24" t="b">
        <f>IFERROR(__xludf.DUMMYFUNCTION("""COMPUTED_VALUE"""),FALSE)</f>
        <v>0</v>
      </c>
      <c r="O22" s="18" t="str">
        <f>IFERROR(__xludf.DUMMYFUNCTION("""COMPUTED_VALUE"""),"Trip.com")</f>
        <v>Trip.com</v>
      </c>
      <c r="P22" s="24">
        <f>IFERROR(__xludf.DUMMYFUNCTION("""COMPUTED_VALUE"""),10.0)</f>
        <v>10</v>
      </c>
      <c r="Q22" s="25">
        <f>IFERROR(__xludf.DUMMYFUNCTION("""COMPUTED_VALUE"""),46116.0)</f>
        <v>46116</v>
      </c>
      <c r="R22" s="24" t="str">
        <f>IFERROR(__xludf.DUMMYFUNCTION("""COMPUTED_VALUE"""),"Mantappp")</f>
        <v>Mantappp</v>
      </c>
      <c r="S22" s="24"/>
      <c r="T22" s="24"/>
      <c r="U22" s="24" t="str">
        <f>IFERROR(__xludf.DUMMYFUNCTION("""COMPUTED_VALUE"""),"素晴らしい")</f>
        <v>素晴らしい</v>
      </c>
      <c r="V22" s="24" t="str">
        <f>IFERROR(__xludf.DUMMYFUNCTION("""COMPUTED_VALUE"""),"")</f>
        <v/>
      </c>
      <c r="W22" s="24" t="str">
        <f>IFERROR(__xludf.DUMMYFUNCTION("""COMPUTED_VALUE"""),"")</f>
        <v/>
      </c>
      <c r="X22" s="24" t="str">
        <f>IFERROR(__xludf.DUMMYFUNCTION("""COMPUTED_VALUE"""),"A‍N‍D‍R‍E‍ ‍Y‍U‍Z‍D‍I‍A‍N‍T‍A‍R‍A")</f>
        <v>A‍N‍D‍R‍E‍ ‍Y‍U‍Z‍D‍I‍A‍N‍T‍A‍R‍A</v>
      </c>
    </row>
    <row r="23">
      <c r="B23" s="17" t="b">
        <f>IFERROR(__xludf.DUMMYFUNCTION("""COMPUTED_VALUE"""),FALSE)</f>
        <v>0</v>
      </c>
      <c r="C23" s="18" t="str">
        <f>IFERROR(__xludf.DUMMYFUNCTION("""COMPUTED_VALUE"""),"Trip.com")</f>
        <v>Trip.com</v>
      </c>
      <c r="D23" s="5">
        <f>IFERROR(__xludf.DUMMYFUNCTION("""COMPUTED_VALUE"""),10.0)</f>
        <v>10</v>
      </c>
      <c r="E23" s="19">
        <f>IFERROR(__xludf.DUMMYFUNCTION("""COMPUTED_VALUE"""),46116.0)</f>
        <v>46116</v>
      </c>
      <c r="F23"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23" s="5"/>
      <c r="H23" s="5"/>
      <c r="I23"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23" s="5" t="str">
        <f>IFERROR(__xludf.DUMMYFUNCTION("""COMPUTED_VALUE"""),"")</f>
        <v/>
      </c>
      <c r="K23" s="24" t="str">
        <f>IFERROR(__xludf.DUMMYFUNCTION("""COMPUTED_VALUE"""),"")</f>
        <v/>
      </c>
      <c r="L23" s="24" t="str">
        <f>IFERROR(__xludf.DUMMYFUNCTION("""COMPUTED_VALUE"""),"K‍u‍m‍m‍y‍.")</f>
        <v>K‍u‍m‍m‍y‍.</v>
      </c>
      <c r="N23" s="24" t="b">
        <f>IFERROR(__xludf.DUMMYFUNCTION("""COMPUTED_VALUE"""),FALSE)</f>
        <v>0</v>
      </c>
      <c r="O23" s="18" t="str">
        <f>IFERROR(__xludf.DUMMYFUNCTION("""COMPUTED_VALUE"""),"Trip.com")</f>
        <v>Trip.com</v>
      </c>
      <c r="P23" s="24">
        <f>IFERROR(__xludf.DUMMYFUNCTION("""COMPUTED_VALUE"""),10.0)</f>
        <v>10</v>
      </c>
      <c r="Q23" s="25">
        <f>IFERROR(__xludf.DUMMYFUNCTION("""COMPUTED_VALUE"""),46116.0)</f>
        <v>46116</v>
      </c>
      <c r="R23"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23" s="24"/>
      <c r="T23" s="24"/>
      <c r="U23"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23" s="24" t="str">
        <f>IFERROR(__xludf.DUMMYFUNCTION("""COMPUTED_VALUE"""),"")</f>
        <v/>
      </c>
      <c r="W23" s="24" t="str">
        <f>IFERROR(__xludf.DUMMYFUNCTION("""COMPUTED_VALUE"""),"")</f>
        <v/>
      </c>
      <c r="X23" s="24" t="str">
        <f>IFERROR(__xludf.DUMMYFUNCTION("""COMPUTED_VALUE"""),"K‍u‍m‍m‍y‍.")</f>
        <v>K‍u‍m‍m‍y‍.</v>
      </c>
    </row>
    <row r="24">
      <c r="B24" s="17" t="b">
        <f>IFERROR(__xludf.DUMMYFUNCTION("""COMPUTED_VALUE"""),FALSE)</f>
        <v>0</v>
      </c>
      <c r="C24" s="18" t="str">
        <f>IFERROR(__xludf.DUMMYFUNCTION("""COMPUTED_VALUE"""),"Trip.com")</f>
        <v>Trip.com</v>
      </c>
      <c r="D24" s="5">
        <f>IFERROR(__xludf.DUMMYFUNCTION("""COMPUTED_VALUE"""),10.0)</f>
        <v>10</v>
      </c>
      <c r="E24" s="19">
        <f>IFERROR(__xludf.DUMMYFUNCTION("""COMPUTED_VALUE"""),46116.0)</f>
        <v>46116</v>
      </c>
      <c r="F24"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24" s="5"/>
      <c r="H24" s="5"/>
      <c r="I24"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24" s="5" t="str">
        <f>IFERROR(__xludf.DUMMYFUNCTION("""COMPUTED_VALUE"""),"")</f>
        <v/>
      </c>
      <c r="K24" s="24" t="str">
        <f>IFERROR(__xludf.DUMMYFUNCTION("""COMPUTED_VALUE"""),"")</f>
        <v/>
      </c>
      <c r="L24" s="24" t="str">
        <f>IFERROR(__xludf.DUMMYFUNCTION("""COMPUTED_VALUE"""),"ゲ‍ス‍ト")</f>
        <v>ゲ‍ス‍ト</v>
      </c>
      <c r="N24" s="24" t="b">
        <f>IFERROR(__xludf.DUMMYFUNCTION("""COMPUTED_VALUE"""),FALSE)</f>
        <v>0</v>
      </c>
      <c r="O24" s="18" t="str">
        <f>IFERROR(__xludf.DUMMYFUNCTION("""COMPUTED_VALUE"""),"Trip.com")</f>
        <v>Trip.com</v>
      </c>
      <c r="P24" s="24">
        <f>IFERROR(__xludf.DUMMYFUNCTION("""COMPUTED_VALUE"""),10.0)</f>
        <v>10</v>
      </c>
      <c r="Q24" s="25">
        <f>IFERROR(__xludf.DUMMYFUNCTION("""COMPUTED_VALUE"""),46116.0)</f>
        <v>46116</v>
      </c>
      <c r="R24"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24" s="24"/>
      <c r="T24" s="24"/>
      <c r="U24"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24" s="24" t="str">
        <f>IFERROR(__xludf.DUMMYFUNCTION("""COMPUTED_VALUE"""),"")</f>
        <v/>
      </c>
      <c r="W24" s="24" t="str">
        <f>IFERROR(__xludf.DUMMYFUNCTION("""COMPUTED_VALUE"""),"")</f>
        <v/>
      </c>
      <c r="X24" s="24" t="str">
        <f>IFERROR(__xludf.DUMMYFUNCTION("""COMPUTED_VALUE"""),"ゲ‍ス‍ト")</f>
        <v>ゲ‍ス‍ト</v>
      </c>
    </row>
    <row r="25">
      <c r="B25" s="17" t="b">
        <f>IFERROR(__xludf.DUMMYFUNCTION("""COMPUTED_VALUE"""),FALSE)</f>
        <v>0</v>
      </c>
      <c r="C25" s="18" t="str">
        <f>IFERROR(__xludf.DUMMYFUNCTION("""COMPUTED_VALUE"""),"Booking.com")</f>
        <v>Booking.com</v>
      </c>
      <c r="D25" s="5">
        <f>IFERROR(__xludf.DUMMYFUNCTION("""COMPUTED_VALUE"""),10.0)</f>
        <v>10</v>
      </c>
      <c r="E25" s="19">
        <f>IFERROR(__xludf.DUMMYFUNCTION("""COMPUTED_VALUE"""),46116.0)</f>
        <v>46116</v>
      </c>
      <c r="F25" s="5"/>
      <c r="G25" s="5" t="str">
        <f>IFERROR(__xludf.DUMMYFUNCTION("""COMPUTED_VALUE"""),"Rất thuận tiện gần bến xe đi lại thuận tiện")</f>
        <v>Rất thuận tiện gần bến xe đi lại thuận tiện</v>
      </c>
      <c r="H25" s="5" t="str">
        <f>IFERROR(__xludf.DUMMYFUNCTION("""COMPUTED_VALUE"""),"Không có")</f>
        <v>Không có</v>
      </c>
      <c r="I25" s="5" t="str">
        <f>IFERROR(__xludf.DUMMYFUNCTION("""COMPUTED_VALUE"""),"")</f>
        <v/>
      </c>
      <c r="J25" s="5" t="str">
        <f>IFERROR(__xludf.DUMMYFUNCTION("""COMPUTED_VALUE"""),"非常に便利な立地で、バスターミナルにも近く、交通の便が良い。")</f>
        <v>非常に便利な立地で、バスターミナルにも近く、交通の便が良い。</v>
      </c>
      <c r="K25" s="24" t="str">
        <f>IFERROR(__xludf.DUMMYFUNCTION("""COMPUTED_VALUE"""),"持っていません")</f>
        <v>持っていません</v>
      </c>
      <c r="L25" s="24" t="str">
        <f>IFERROR(__xludf.DUMMYFUNCTION("""COMPUTED_VALUE"""),"Thuy")</f>
        <v>Thuy</v>
      </c>
      <c r="N25" s="24" t="b">
        <f>IFERROR(__xludf.DUMMYFUNCTION("""COMPUTED_VALUE"""),FALSE)</f>
        <v>0</v>
      </c>
      <c r="O25" s="18" t="str">
        <f>IFERROR(__xludf.DUMMYFUNCTION("""COMPUTED_VALUE"""),"Booking.com")</f>
        <v>Booking.com</v>
      </c>
      <c r="P25" s="24">
        <f>IFERROR(__xludf.DUMMYFUNCTION("""COMPUTED_VALUE"""),10.0)</f>
        <v>10</v>
      </c>
      <c r="Q25" s="25">
        <f>IFERROR(__xludf.DUMMYFUNCTION("""COMPUTED_VALUE"""),46116.0)</f>
        <v>46116</v>
      </c>
      <c r="R25" s="24"/>
      <c r="S25" s="24" t="str">
        <f>IFERROR(__xludf.DUMMYFUNCTION("""COMPUTED_VALUE"""),"Rất thuận tiện gần bến xe đi lại thuận tiện")</f>
        <v>Rất thuận tiện gần bến xe đi lại thuận tiện</v>
      </c>
      <c r="T25" s="24" t="str">
        <f>IFERROR(__xludf.DUMMYFUNCTION("""COMPUTED_VALUE"""),"Không có")</f>
        <v>Không có</v>
      </c>
      <c r="U25" s="24" t="str">
        <f>IFERROR(__xludf.DUMMYFUNCTION("""COMPUTED_VALUE"""),"")</f>
        <v/>
      </c>
      <c r="V25" s="24" t="str">
        <f>IFERROR(__xludf.DUMMYFUNCTION("""COMPUTED_VALUE"""),"非常に便利な立地で、バスターミナルにも近く、交通の便が良い。")</f>
        <v>非常に便利な立地で、バスターミナルにも近く、交通の便が良い。</v>
      </c>
      <c r="W25" s="24" t="str">
        <f>IFERROR(__xludf.DUMMYFUNCTION("""COMPUTED_VALUE"""),"持っていません")</f>
        <v>持っていません</v>
      </c>
      <c r="X25" s="24" t="str">
        <f>IFERROR(__xludf.DUMMYFUNCTION("""COMPUTED_VALUE"""),"Thuy")</f>
        <v>Thuy</v>
      </c>
    </row>
    <row r="26">
      <c r="B26" s="17" t="b">
        <f>IFERROR(__xludf.DUMMYFUNCTION("""COMPUTED_VALUE"""),FALSE)</f>
        <v>0</v>
      </c>
      <c r="C26" s="18" t="str">
        <f>IFERROR(__xludf.DUMMYFUNCTION("""COMPUTED_VALUE"""),"Booking.com")</f>
        <v>Booking.com</v>
      </c>
      <c r="D26" s="5">
        <f>IFERROR(__xludf.DUMMYFUNCTION("""COMPUTED_VALUE"""),8.0)</f>
        <v>8</v>
      </c>
      <c r="E26" s="19">
        <f>IFERROR(__xludf.DUMMYFUNCTION("""COMPUTED_VALUE"""),46116.0)</f>
        <v>46116</v>
      </c>
      <c r="F26" s="5"/>
      <c r="G26"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26"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26" s="5" t="str">
        <f>IFERROR(__xludf.DUMMYFUNCTION("""COMPUTED_VALUE"""),"")</f>
        <v/>
      </c>
      <c r="J26" s="5"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26" s="24"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26" s="24" t="str">
        <f>IFERROR(__xludf.DUMMYFUNCTION("""COMPUTED_VALUE"""),"Ng")</f>
        <v>Ng</v>
      </c>
      <c r="N26" s="24" t="b">
        <f>IFERROR(__xludf.DUMMYFUNCTION("""COMPUTED_VALUE"""),FALSE)</f>
        <v>0</v>
      </c>
      <c r="O26" s="18" t="str">
        <f>IFERROR(__xludf.DUMMYFUNCTION("""COMPUTED_VALUE"""),"Booking.com")</f>
        <v>Booking.com</v>
      </c>
      <c r="P26" s="24">
        <f>IFERROR(__xludf.DUMMYFUNCTION("""COMPUTED_VALUE"""),8.0)</f>
        <v>8</v>
      </c>
      <c r="Q26" s="25">
        <f>IFERROR(__xludf.DUMMYFUNCTION("""COMPUTED_VALUE"""),46116.0)</f>
        <v>46116</v>
      </c>
      <c r="R26" s="24"/>
      <c r="S26"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26"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26" s="24" t="str">
        <f>IFERROR(__xludf.DUMMYFUNCTION("""COMPUTED_VALUE"""),"")</f>
        <v/>
      </c>
      <c r="V26" s="24"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26" s="24"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26" s="24" t="str">
        <f>IFERROR(__xludf.DUMMYFUNCTION("""COMPUTED_VALUE"""),"Ng")</f>
        <v>Ng</v>
      </c>
    </row>
    <row r="27">
      <c r="B27" s="17" t="b">
        <f>IFERROR(__xludf.DUMMYFUNCTION("""COMPUTED_VALUE"""),FALSE)</f>
        <v>0</v>
      </c>
      <c r="C27" s="18" t="str">
        <f>IFERROR(__xludf.DUMMYFUNCTION("""COMPUTED_VALUE"""),"Trip.com")</f>
        <v>Trip.com</v>
      </c>
      <c r="D27" s="5">
        <f>IFERROR(__xludf.DUMMYFUNCTION("""COMPUTED_VALUE"""),10.0)</f>
        <v>10</v>
      </c>
      <c r="E27" s="19">
        <f>IFERROR(__xludf.DUMMYFUNCTION("""COMPUTED_VALUE"""),46115.0)</f>
        <v>46115</v>
      </c>
      <c r="F27"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27" s="5"/>
      <c r="H27" s="5"/>
      <c r="I27"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27" s="5" t="str">
        <f>IFERROR(__xludf.DUMMYFUNCTION("""COMPUTED_VALUE"""),"")</f>
        <v/>
      </c>
      <c r="K27" s="24" t="str">
        <f>IFERROR(__xludf.DUMMYFUNCTION("""COMPUTED_VALUE"""),"")</f>
        <v/>
      </c>
      <c r="L27" s="24" t="str">
        <f>IFERROR(__xludf.DUMMYFUNCTION("""COMPUTED_VALUE"""),"S‍k‍y‍e‍ ‍t‍h‍e‍ ‍e‍x‍p‍l‍o‍r‍e‍r")</f>
        <v>S‍k‍y‍e‍ ‍t‍h‍e‍ ‍e‍x‍p‍l‍o‍r‍e‍r</v>
      </c>
      <c r="N27" s="24" t="b">
        <f>IFERROR(__xludf.DUMMYFUNCTION("""COMPUTED_VALUE"""),FALSE)</f>
        <v>0</v>
      </c>
      <c r="O27" s="18" t="str">
        <f>IFERROR(__xludf.DUMMYFUNCTION("""COMPUTED_VALUE"""),"Trip.com")</f>
        <v>Trip.com</v>
      </c>
      <c r="P27" s="24">
        <f>IFERROR(__xludf.DUMMYFUNCTION("""COMPUTED_VALUE"""),10.0)</f>
        <v>10</v>
      </c>
      <c r="Q27" s="25">
        <f>IFERROR(__xludf.DUMMYFUNCTION("""COMPUTED_VALUE"""),46115.0)</f>
        <v>46115</v>
      </c>
      <c r="R27"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27" s="24"/>
      <c r="T27" s="24"/>
      <c r="U27"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27" s="24" t="str">
        <f>IFERROR(__xludf.DUMMYFUNCTION("""COMPUTED_VALUE"""),"")</f>
        <v/>
      </c>
      <c r="W27" s="24" t="str">
        <f>IFERROR(__xludf.DUMMYFUNCTION("""COMPUTED_VALUE"""),"")</f>
        <v/>
      </c>
      <c r="X27" s="24" t="str">
        <f>IFERROR(__xludf.DUMMYFUNCTION("""COMPUTED_VALUE"""),"S‍k‍y‍e‍ ‍t‍h‍e‍ ‍e‍x‍p‍l‍o‍r‍e‍r")</f>
        <v>S‍k‍y‍e‍ ‍t‍h‍e‍ ‍e‍x‍p‍l‍o‍r‍e‍r</v>
      </c>
    </row>
    <row r="28">
      <c r="B28" s="17" t="b">
        <f>IFERROR(__xludf.DUMMYFUNCTION("""COMPUTED_VALUE"""),FALSE)</f>
        <v>0</v>
      </c>
      <c r="C28" s="18" t="str">
        <f>IFERROR(__xludf.DUMMYFUNCTION("""COMPUTED_VALUE"""),"Trip.com")</f>
        <v>Trip.com</v>
      </c>
      <c r="D28" s="5">
        <f>IFERROR(__xludf.DUMMYFUNCTION("""COMPUTED_VALUE"""),10.0)</f>
        <v>10</v>
      </c>
      <c r="E28" s="19">
        <f>IFERROR(__xludf.DUMMYFUNCTION("""COMPUTED_VALUE"""),46114.0)</f>
        <v>46114</v>
      </c>
      <c r="F28"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28" s="5"/>
      <c r="H28" s="5"/>
      <c r="I28"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28" s="5" t="str">
        <f>IFERROR(__xludf.DUMMYFUNCTION("""COMPUTED_VALUE"""),"")</f>
        <v/>
      </c>
      <c r="K28" s="24" t="str">
        <f>IFERROR(__xludf.DUMMYFUNCTION("""COMPUTED_VALUE"""),"")</f>
        <v/>
      </c>
      <c r="L28" s="24" t="str">
        <f>IFERROR(__xludf.DUMMYFUNCTION("""COMPUTED_VALUE"""),"ゲ‍ス‍ト")</f>
        <v>ゲ‍ス‍ト</v>
      </c>
      <c r="N28" s="24" t="b">
        <f>IFERROR(__xludf.DUMMYFUNCTION("""COMPUTED_VALUE"""),FALSE)</f>
        <v>0</v>
      </c>
      <c r="O28" s="18" t="str">
        <f>IFERROR(__xludf.DUMMYFUNCTION("""COMPUTED_VALUE"""),"Trip.com")</f>
        <v>Trip.com</v>
      </c>
      <c r="P28" s="24">
        <f>IFERROR(__xludf.DUMMYFUNCTION("""COMPUTED_VALUE"""),10.0)</f>
        <v>10</v>
      </c>
      <c r="Q28" s="25">
        <f>IFERROR(__xludf.DUMMYFUNCTION("""COMPUTED_VALUE"""),46114.0)</f>
        <v>46114</v>
      </c>
      <c r="R28"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28" s="24"/>
      <c r="T28" s="24"/>
      <c r="U28"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28" s="24" t="str">
        <f>IFERROR(__xludf.DUMMYFUNCTION("""COMPUTED_VALUE"""),"")</f>
        <v/>
      </c>
      <c r="W28" s="24" t="str">
        <f>IFERROR(__xludf.DUMMYFUNCTION("""COMPUTED_VALUE"""),"")</f>
        <v/>
      </c>
      <c r="X28" s="24" t="str">
        <f>IFERROR(__xludf.DUMMYFUNCTION("""COMPUTED_VALUE"""),"ゲ‍ス‍ト")</f>
        <v>ゲ‍ス‍ト</v>
      </c>
    </row>
    <row r="29">
      <c r="B29" s="17" t="b">
        <f>IFERROR(__xludf.DUMMYFUNCTION("""COMPUTED_VALUE"""),FALSE)</f>
        <v>0</v>
      </c>
      <c r="C29" s="24" t="str">
        <f>IFERROR(__xludf.DUMMYFUNCTION("""COMPUTED_VALUE"""),"Google")</f>
        <v>Google</v>
      </c>
      <c r="D29" s="5">
        <f>IFERROR(__xludf.DUMMYFUNCTION("""COMPUTED_VALUE"""),5.0)</f>
        <v>5</v>
      </c>
      <c r="E29" s="19">
        <f>IFERROR(__xludf.DUMMYFUNCTION("""COMPUTED_VALUE"""),46114.0)</f>
        <v>46114</v>
      </c>
      <c r="F29" s="5" t="str">
        <f>IFERROR(__xludf.DUMMYFUNCTION("""COMPUTED_VALUE"""),"いつも選ぶのは地の利もさることながら、このホテルの安定と安心です。")</f>
        <v>いつも選ぶのは地の利もさることながら、このホテルの安定と安心です。</v>
      </c>
      <c r="G29" s="5"/>
      <c r="H29" s="5"/>
      <c r="I29" s="5" t="str">
        <f>IFERROR(__xludf.DUMMYFUNCTION("""COMPUTED_VALUE"""),"いつも選ぶのは地の利もさることながら、このホテルの安定と安心です。")</f>
        <v>いつも選ぶのは地の利もさることながら、このホテルの安定と安心です。</v>
      </c>
      <c r="J29" s="30" t="str">
        <f>IFERROR(__xludf.DUMMYFUNCTION("""COMPUTED_VALUE"""),"")</f>
        <v/>
      </c>
      <c r="K29" s="24" t="str">
        <f>IFERROR(__xludf.DUMMYFUNCTION("""COMPUTED_VALUE"""),"")</f>
        <v/>
      </c>
      <c r="L29" s="24" t="str">
        <f>IFERROR(__xludf.DUMMYFUNCTION("""COMPUTED_VALUE"""),"NORIAKI MASUDA")</f>
        <v>NORIAKI MASUDA</v>
      </c>
      <c r="N29" s="24" t="b">
        <f>IFERROR(__xludf.DUMMYFUNCTION("""COMPUTED_VALUE"""),FALSE)</f>
        <v>0</v>
      </c>
      <c r="O29" s="24" t="str">
        <f>IFERROR(__xludf.DUMMYFUNCTION("""COMPUTED_VALUE"""),"Google")</f>
        <v>Google</v>
      </c>
      <c r="P29" s="24">
        <f>IFERROR(__xludf.DUMMYFUNCTION("""COMPUTED_VALUE"""),5.0)</f>
        <v>5</v>
      </c>
      <c r="Q29" s="25">
        <f>IFERROR(__xludf.DUMMYFUNCTION("""COMPUTED_VALUE"""),46114.0)</f>
        <v>46114</v>
      </c>
      <c r="R29" s="24" t="str">
        <f>IFERROR(__xludf.DUMMYFUNCTION("""COMPUTED_VALUE"""),"いつも選ぶのは地の利もさることながら、このホテルの安定と安心です。")</f>
        <v>いつも選ぶのは地の利もさることながら、このホテルの安定と安心です。</v>
      </c>
      <c r="S29" s="24"/>
      <c r="T29" s="24"/>
      <c r="U29" s="24" t="str">
        <f>IFERROR(__xludf.DUMMYFUNCTION("""COMPUTED_VALUE"""),"いつも選ぶのは地の利もさることながら、このホテルの安定と安心です。")</f>
        <v>いつも選ぶのは地の利もさることながら、このホテルの安定と安心です。</v>
      </c>
      <c r="V29" s="24" t="str">
        <f>IFERROR(__xludf.DUMMYFUNCTION("""COMPUTED_VALUE"""),"")</f>
        <v/>
      </c>
      <c r="W29" s="24" t="str">
        <f>IFERROR(__xludf.DUMMYFUNCTION("""COMPUTED_VALUE"""),"")</f>
        <v/>
      </c>
      <c r="X29" s="24" t="str">
        <f>IFERROR(__xludf.DUMMYFUNCTION("""COMPUTED_VALUE"""),"NORIAKI MASUDA")</f>
        <v>NORIAKI MASUDA</v>
      </c>
    </row>
    <row r="30">
      <c r="B30" s="17" t="b">
        <f>IFERROR(__xludf.DUMMYFUNCTION("""COMPUTED_VALUE"""),FALSE)</f>
        <v>0</v>
      </c>
      <c r="C30" s="18" t="str">
        <f>IFERROR(__xludf.DUMMYFUNCTION("""COMPUTED_VALUE"""),"Booking.com")</f>
        <v>Booking.com</v>
      </c>
      <c r="D30" s="5">
        <f>IFERROR(__xludf.DUMMYFUNCTION("""COMPUTED_VALUE"""),9.0)</f>
        <v>9</v>
      </c>
      <c r="E30" s="19">
        <f>IFERROR(__xludf.DUMMYFUNCTION("""COMPUTED_VALUE"""),46113.0)</f>
        <v>46113</v>
      </c>
      <c r="F30" s="5"/>
      <c r="G30"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30" s="5" t="str">
        <f>IFERROR(__xludf.DUMMYFUNCTION("""COMPUTED_VALUE"""),"Breakfast was ok, however there wasn't any cereal or toast on offer when we stayed.")</f>
        <v>Breakfast was ok, however there wasn't any cereal or toast on offer when we stayed.</v>
      </c>
      <c r="I30" s="5" t="str">
        <f>IFERROR(__xludf.DUMMYFUNCTION("""COMPUTED_VALUE"""),"")</f>
        <v/>
      </c>
      <c r="J30"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30"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30" s="24" t="str">
        <f>IFERROR(__xludf.DUMMYFUNCTION("""COMPUTED_VALUE"""),"Natalie")</f>
        <v>Natalie</v>
      </c>
      <c r="N30" s="24" t="b">
        <f>IFERROR(__xludf.DUMMYFUNCTION("""COMPUTED_VALUE"""),FALSE)</f>
        <v>0</v>
      </c>
      <c r="O30" s="18" t="str">
        <f>IFERROR(__xludf.DUMMYFUNCTION("""COMPUTED_VALUE"""),"Booking.com")</f>
        <v>Booking.com</v>
      </c>
      <c r="P30" s="24">
        <f>IFERROR(__xludf.DUMMYFUNCTION("""COMPUTED_VALUE"""),9.0)</f>
        <v>9</v>
      </c>
      <c r="Q30" s="25">
        <f>IFERROR(__xludf.DUMMYFUNCTION("""COMPUTED_VALUE"""),46113.0)</f>
        <v>46113</v>
      </c>
      <c r="R30" s="24"/>
      <c r="S30"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30" s="24" t="str">
        <f>IFERROR(__xludf.DUMMYFUNCTION("""COMPUTED_VALUE"""),"Breakfast was ok, however there wasn't any cereal or toast on offer when we stayed.")</f>
        <v>Breakfast was ok, however there wasn't any cereal or toast on offer when we stayed.</v>
      </c>
      <c r="U30" s="24" t="str">
        <f>IFERROR(__xludf.DUMMYFUNCTION("""COMPUTED_VALUE"""),"")</f>
        <v/>
      </c>
      <c r="V30"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30"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30" s="24" t="str">
        <f>IFERROR(__xludf.DUMMYFUNCTION("""COMPUTED_VALUE"""),"Natalie")</f>
        <v>Natalie</v>
      </c>
    </row>
    <row r="31">
      <c r="B31" s="17" t="b">
        <f>IFERROR(__xludf.DUMMYFUNCTION("""COMPUTED_VALUE"""),FALSE)</f>
        <v>0</v>
      </c>
      <c r="C31" s="18" t="str">
        <f>IFERROR(__xludf.DUMMYFUNCTION("""COMPUTED_VALUE"""),"Booking.com")</f>
        <v>Booking.com</v>
      </c>
      <c r="D31" s="5">
        <f>IFERROR(__xludf.DUMMYFUNCTION("""COMPUTED_VALUE"""),8.0)</f>
        <v>8</v>
      </c>
      <c r="E31" s="19">
        <f>IFERROR(__xludf.DUMMYFUNCTION("""COMPUTED_VALUE"""),46113.0)</f>
        <v>46113</v>
      </c>
      <c r="F31" s="5"/>
      <c r="G31"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31" s="5" t="str">
        <f>IFERROR(__xludf.DUMMYFUNCTION("""COMPUTED_VALUE"""),"stanza un pò piccola")</f>
        <v>stanza un pò piccola</v>
      </c>
      <c r="I31" s="5" t="str">
        <f>IFERROR(__xludf.DUMMYFUNCTION("""COMPUTED_VALUE"""),"")</f>
        <v/>
      </c>
      <c r="J31"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31" s="24" t="str">
        <f>IFERROR(__xludf.DUMMYFUNCTION("""COMPUTED_VALUE"""),"部屋が少し狭い")</f>
        <v>部屋が少し狭い</v>
      </c>
      <c r="L31" s="24" t="str">
        <f>IFERROR(__xludf.DUMMYFUNCTION("""COMPUTED_VALUE"""),"Melissa")</f>
        <v>Melissa</v>
      </c>
      <c r="N31" s="24" t="b">
        <f>IFERROR(__xludf.DUMMYFUNCTION("""COMPUTED_VALUE"""),FALSE)</f>
        <v>0</v>
      </c>
      <c r="O31" s="18" t="str">
        <f>IFERROR(__xludf.DUMMYFUNCTION("""COMPUTED_VALUE"""),"Booking.com")</f>
        <v>Booking.com</v>
      </c>
      <c r="P31" s="24">
        <f>IFERROR(__xludf.DUMMYFUNCTION("""COMPUTED_VALUE"""),8.0)</f>
        <v>8</v>
      </c>
      <c r="Q31" s="25">
        <f>IFERROR(__xludf.DUMMYFUNCTION("""COMPUTED_VALUE"""),46113.0)</f>
        <v>46113</v>
      </c>
      <c r="R31" s="24"/>
      <c r="S31"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31" s="24" t="str">
        <f>IFERROR(__xludf.DUMMYFUNCTION("""COMPUTED_VALUE"""),"stanza un pò piccola")</f>
        <v>stanza un pò piccola</v>
      </c>
      <c r="U31" s="24" t="str">
        <f>IFERROR(__xludf.DUMMYFUNCTION("""COMPUTED_VALUE"""),"")</f>
        <v/>
      </c>
      <c r="V31"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31" s="24" t="str">
        <f>IFERROR(__xludf.DUMMYFUNCTION("""COMPUTED_VALUE"""),"部屋が少し狭い")</f>
        <v>部屋が少し狭い</v>
      </c>
      <c r="X31" s="24" t="str">
        <f>IFERROR(__xludf.DUMMYFUNCTION("""COMPUTED_VALUE"""),"Melissa")</f>
        <v>Melissa</v>
      </c>
    </row>
    <row r="32">
      <c r="B32" s="17" t="b">
        <f>IFERROR(__xludf.DUMMYFUNCTION("""COMPUTED_VALUE"""),FALSE)</f>
        <v>0</v>
      </c>
      <c r="C32" s="18" t="str">
        <f>IFERROR(__xludf.DUMMYFUNCTION("""COMPUTED_VALUE"""),"Booking.com")</f>
        <v>Booking.com</v>
      </c>
      <c r="D32" s="5">
        <f>IFERROR(__xludf.DUMMYFUNCTION("""COMPUTED_VALUE"""),10.0)</f>
        <v>10</v>
      </c>
      <c r="E32" s="19">
        <f>IFERROR(__xludf.DUMMYFUNCTION("""COMPUTED_VALUE"""),46113.0)</f>
        <v>46113</v>
      </c>
      <c r="F32" s="5"/>
      <c r="G32" s="5" t="str">
        <f>IFERROR(__xludf.DUMMYFUNCTION("""COMPUTED_VALUE"""),"綺麗")</f>
        <v>綺麗</v>
      </c>
      <c r="H32" s="5"/>
      <c r="I32" s="5" t="str">
        <f>IFERROR(__xludf.DUMMYFUNCTION("""COMPUTED_VALUE"""),"")</f>
        <v/>
      </c>
      <c r="J32" s="5" t="str">
        <f>IFERROR(__xludf.DUMMYFUNCTION("""COMPUTED_VALUE"""),"綺麗")</f>
        <v>綺麗</v>
      </c>
      <c r="K32" s="24" t="str">
        <f>IFERROR(__xludf.DUMMYFUNCTION("""COMPUTED_VALUE"""),"")</f>
        <v/>
      </c>
      <c r="L32" s="24" t="str">
        <f>IFERROR(__xludf.DUMMYFUNCTION("""COMPUTED_VALUE"""),"Toshinao")</f>
        <v>Toshinao</v>
      </c>
      <c r="N32" s="24" t="b">
        <f>IFERROR(__xludf.DUMMYFUNCTION("""COMPUTED_VALUE"""),FALSE)</f>
        <v>0</v>
      </c>
      <c r="O32" s="18" t="str">
        <f>IFERROR(__xludf.DUMMYFUNCTION("""COMPUTED_VALUE"""),"Booking.com")</f>
        <v>Booking.com</v>
      </c>
      <c r="P32" s="24">
        <f>IFERROR(__xludf.DUMMYFUNCTION("""COMPUTED_VALUE"""),10.0)</f>
        <v>10</v>
      </c>
      <c r="Q32" s="25">
        <f>IFERROR(__xludf.DUMMYFUNCTION("""COMPUTED_VALUE"""),46113.0)</f>
        <v>46113</v>
      </c>
      <c r="R32" s="24"/>
      <c r="S32" s="24" t="str">
        <f>IFERROR(__xludf.DUMMYFUNCTION("""COMPUTED_VALUE"""),"綺麗")</f>
        <v>綺麗</v>
      </c>
      <c r="T32" s="24"/>
      <c r="U32" s="24" t="str">
        <f>IFERROR(__xludf.DUMMYFUNCTION("""COMPUTED_VALUE"""),"")</f>
        <v/>
      </c>
      <c r="V32" s="24" t="str">
        <f>IFERROR(__xludf.DUMMYFUNCTION("""COMPUTED_VALUE"""),"綺麗")</f>
        <v>綺麗</v>
      </c>
      <c r="W32" s="24" t="str">
        <f>IFERROR(__xludf.DUMMYFUNCTION("""COMPUTED_VALUE"""),"")</f>
        <v/>
      </c>
      <c r="X32" s="24" t="str">
        <f>IFERROR(__xludf.DUMMYFUNCTION("""COMPUTED_VALUE"""),"Toshinao")</f>
        <v>Toshinao</v>
      </c>
    </row>
    <row r="33">
      <c r="B33" s="17" t="b">
        <f>IFERROR(__xludf.DUMMYFUNCTION("""COMPUTED_VALUE"""),FALSE)</f>
        <v>0</v>
      </c>
      <c r="C33" s="24" t="str">
        <f>IFERROR(__xludf.DUMMYFUNCTION("""COMPUTED_VALUE"""),"Google")</f>
        <v>Google</v>
      </c>
      <c r="D33" s="5">
        <f>IFERROR(__xludf.DUMMYFUNCTION("""COMPUTED_VALUE"""),5.0)</f>
        <v>5</v>
      </c>
      <c r="E33" s="19">
        <f>IFERROR(__xludf.DUMMYFUNCTION("""COMPUTED_VALUE"""),46113.0)</f>
        <v>46113</v>
      </c>
      <c r="F33"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33" s="5"/>
      <c r="H33" s="5"/>
      <c r="I33"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33" s="5" t="str">
        <f>IFERROR(__xludf.DUMMYFUNCTION("""COMPUTED_VALUE"""),"")</f>
        <v/>
      </c>
      <c r="K33" s="24" t="str">
        <f>IFERROR(__xludf.DUMMYFUNCTION("""COMPUTED_VALUE"""),"")</f>
        <v/>
      </c>
      <c r="L33" s="24" t="str">
        <f>IFERROR(__xludf.DUMMYFUNCTION("""COMPUTED_VALUE"""),"easonlin323")</f>
        <v>easonlin323</v>
      </c>
      <c r="N33" s="24" t="b">
        <f>IFERROR(__xludf.DUMMYFUNCTION("""COMPUTED_VALUE"""),FALSE)</f>
        <v>0</v>
      </c>
      <c r="O33" s="24" t="str">
        <f>IFERROR(__xludf.DUMMYFUNCTION("""COMPUTED_VALUE"""),"Google")</f>
        <v>Google</v>
      </c>
      <c r="P33" s="24">
        <f>IFERROR(__xludf.DUMMYFUNCTION("""COMPUTED_VALUE"""),5.0)</f>
        <v>5</v>
      </c>
      <c r="Q33" s="25">
        <f>IFERROR(__xludf.DUMMYFUNCTION("""COMPUTED_VALUE"""),46113.0)</f>
        <v>46113</v>
      </c>
      <c r="R33"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33" s="24"/>
      <c r="T33" s="24"/>
      <c r="U33"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33" s="24" t="str">
        <f>IFERROR(__xludf.DUMMYFUNCTION("""COMPUTED_VALUE"""),"")</f>
        <v/>
      </c>
      <c r="W33" s="24" t="str">
        <f>IFERROR(__xludf.DUMMYFUNCTION("""COMPUTED_VALUE"""),"")</f>
        <v/>
      </c>
      <c r="X33" s="24" t="str">
        <f>IFERROR(__xludf.DUMMYFUNCTION("""COMPUTED_VALUE"""),"easonlin323")</f>
        <v>easonlin323</v>
      </c>
    </row>
    <row r="34">
      <c r="B34" s="17" t="b">
        <f>IFERROR(__xludf.DUMMYFUNCTION("""COMPUTED_VALUE"""),FALSE)</f>
        <v>0</v>
      </c>
      <c r="C34" s="24" t="str">
        <f>IFERROR(__xludf.DUMMYFUNCTION("""COMPUTED_VALUE"""),"Google")</f>
        <v>Google</v>
      </c>
      <c r="D34" s="5">
        <f>IFERROR(__xludf.DUMMYFUNCTION("""COMPUTED_VALUE"""),5.0)</f>
        <v>5</v>
      </c>
      <c r="E34" s="19">
        <f>IFERROR(__xludf.DUMMYFUNCTION("""COMPUTED_VALUE"""),46113.0)</f>
        <v>46113</v>
      </c>
      <c r="F34"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34" s="5"/>
      <c r="H34" s="5"/>
      <c r="I34"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34" s="5" t="str">
        <f>IFERROR(__xludf.DUMMYFUNCTION("""COMPUTED_VALUE"""),"")</f>
        <v/>
      </c>
      <c r="K34" s="24" t="str">
        <f>IFERROR(__xludf.DUMMYFUNCTION("""COMPUTED_VALUE"""),"")</f>
        <v/>
      </c>
      <c r="L34" s="24" t="str">
        <f>IFERROR(__xludf.DUMMYFUNCTION("""COMPUTED_VALUE"""),"easonlin323")</f>
        <v>easonlin323</v>
      </c>
      <c r="N34" s="24" t="b">
        <f>IFERROR(__xludf.DUMMYFUNCTION("""COMPUTED_VALUE"""),FALSE)</f>
        <v>0</v>
      </c>
      <c r="O34" s="24" t="str">
        <f>IFERROR(__xludf.DUMMYFUNCTION("""COMPUTED_VALUE"""),"Google")</f>
        <v>Google</v>
      </c>
      <c r="P34" s="24">
        <f>IFERROR(__xludf.DUMMYFUNCTION("""COMPUTED_VALUE"""),5.0)</f>
        <v>5</v>
      </c>
      <c r="Q34" s="25">
        <f>IFERROR(__xludf.DUMMYFUNCTION("""COMPUTED_VALUE"""),46113.0)</f>
        <v>46113</v>
      </c>
      <c r="R34"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34" s="24"/>
      <c r="T34" s="24"/>
      <c r="U34"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34" s="24" t="str">
        <f>IFERROR(__xludf.DUMMYFUNCTION("""COMPUTED_VALUE"""),"")</f>
        <v/>
      </c>
      <c r="W34" s="24" t="str">
        <f>IFERROR(__xludf.DUMMYFUNCTION("""COMPUTED_VALUE"""),"")</f>
        <v/>
      </c>
      <c r="X34" s="24" t="str">
        <f>IFERROR(__xludf.DUMMYFUNCTION("""COMPUTED_VALUE"""),"easonlin323")</f>
        <v>easonlin323</v>
      </c>
    </row>
    <row r="35">
      <c r="B35" s="17" t="b">
        <f>IFERROR(__xludf.DUMMYFUNCTION("""COMPUTED_VALUE"""),FALSE)</f>
        <v>0</v>
      </c>
      <c r="C35" s="18" t="str">
        <f>IFERROR(__xludf.DUMMYFUNCTION("""COMPUTED_VALUE"""),"Booking.com")</f>
        <v>Booking.com</v>
      </c>
      <c r="D35" s="5">
        <f>IFERROR(__xludf.DUMMYFUNCTION("""COMPUTED_VALUE"""),10.0)</f>
        <v>10</v>
      </c>
      <c r="E35" s="19">
        <f>IFERROR(__xludf.DUMMYFUNCTION("""COMPUTED_VALUE"""),46112.0)</f>
        <v>46112</v>
      </c>
      <c r="F35" s="5"/>
      <c r="G35" s="5" t="str">
        <f>IFERROR(__xludf.DUMMYFUNCTION("""COMPUTED_VALUE"""),"地點方便，房間整潔，出水很大洗澡很舒適")</f>
        <v>地點方便，房間整潔，出水很大洗澡很舒適</v>
      </c>
      <c r="H35" s="5" t="str">
        <f>IFERROR(__xludf.DUMMYFUNCTION("""COMPUTED_VALUE"""),"沒有不滿意的地方")</f>
        <v>沒有不滿意的地方</v>
      </c>
      <c r="I35" s="5" t="str">
        <f>IFERROR(__xludf.DUMMYFUNCTION("""COMPUTED_VALUE"""),"")</f>
        <v/>
      </c>
      <c r="J35" s="5" t="str">
        <f>IFERROR(__xludf.DUMMYFUNCTION("""COMPUTED_VALUE"""),"立地が便利で、部屋は清潔で、水圧も強いので、シャワーがとても快適です。")</f>
        <v>立地が便利で、部屋は清潔で、水圧も強いので、シャワーがとても快適です。</v>
      </c>
      <c r="K35" s="24" t="str">
        <f>IFERROR(__xludf.DUMMYFUNCTION("""COMPUTED_VALUE"""),"不満な点は何もありません。")</f>
        <v>不満な点は何もありません。</v>
      </c>
      <c r="L35" s="24" t="str">
        <f>IFERROR(__xludf.DUMMYFUNCTION("""COMPUTED_VALUE"""),"Chia")</f>
        <v>Chia</v>
      </c>
      <c r="N35" s="24"/>
      <c r="O35" s="24"/>
      <c r="P35" s="24"/>
      <c r="Q35" s="24"/>
      <c r="R35" s="24"/>
      <c r="S35" s="24"/>
      <c r="T35" s="24"/>
      <c r="U35" s="24"/>
      <c r="V35" s="24"/>
      <c r="W35" s="24"/>
      <c r="X35" s="24"/>
    </row>
    <row r="36">
      <c r="B36" s="17" t="b">
        <f>IFERROR(__xludf.DUMMYFUNCTION("""COMPUTED_VALUE"""),FALSE)</f>
        <v>0</v>
      </c>
      <c r="C36" s="18" t="str">
        <f>IFERROR(__xludf.DUMMYFUNCTION("""COMPUTED_VALUE"""),"Booking.com")</f>
        <v>Booking.com</v>
      </c>
      <c r="D36" s="5">
        <f>IFERROR(__xludf.DUMMYFUNCTION("""COMPUTED_VALUE"""),7.0)</f>
        <v>7</v>
      </c>
      <c r="E36" s="19">
        <f>IFERROR(__xludf.DUMMYFUNCTION("""COMPUTED_VALUE"""),46112.0)</f>
        <v>46112</v>
      </c>
      <c r="F36" s="5"/>
      <c r="G36" s="5" t="str">
        <f>IFERROR(__xludf.DUMMYFUNCTION("""COMPUTED_VALUE"""),"一樓大廳提供泡澡球、面膜，跟其他常見的備品，但沒有浴帽跟牙刷。")</f>
        <v>一樓大廳提供泡澡球、面膜，跟其他常見的備品，但沒有浴帽跟牙刷。</v>
      </c>
      <c r="H36" s="5" t="str">
        <f>IFERROR(__xludf.DUMMYFUNCTION("""COMPUTED_VALUE"""),"早餐還不錯吃，但品項不多而且每天一樣，連住很多天會吃到膩，自動鬆餅機很有趣")</f>
        <v>早餐還不錯吃，但品項不多而且每天一樣，連住很多天會吃到膩，自動鬆餅機很有趣</v>
      </c>
      <c r="I36" s="5" t="str">
        <f>IFERROR(__xludf.DUMMYFUNCTION("""COMPUTED_VALUE"""),"")</f>
        <v/>
      </c>
      <c r="J36"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36" s="24"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L36" s="24" t="str">
        <f>IFERROR(__xludf.DUMMYFUNCTION("""COMPUTED_VALUE"""),"Chen")</f>
        <v>Chen</v>
      </c>
      <c r="N36" s="24"/>
      <c r="O36" s="24"/>
      <c r="P36" s="24"/>
      <c r="Q36" s="24"/>
      <c r="R36" s="24"/>
      <c r="S36" s="24"/>
      <c r="T36" s="24"/>
      <c r="U36" s="24"/>
      <c r="V36" s="24"/>
      <c r="W36" s="24"/>
      <c r="X36" s="24"/>
    </row>
    <row r="37">
      <c r="B37" s="17" t="b">
        <f>IFERROR(__xludf.DUMMYFUNCTION("""COMPUTED_VALUE"""),FALSE)</f>
        <v>0</v>
      </c>
      <c r="C37" s="18" t="str">
        <f>IFERROR(__xludf.DUMMYFUNCTION("""COMPUTED_VALUE"""),"Booking.com")</f>
        <v>Booking.com</v>
      </c>
      <c r="D37" s="5">
        <f>IFERROR(__xludf.DUMMYFUNCTION("""COMPUTED_VALUE"""),10.0)</f>
        <v>10</v>
      </c>
      <c r="E37" s="19">
        <f>IFERROR(__xludf.DUMMYFUNCTION("""COMPUTED_VALUE"""),46112.0)</f>
        <v>46112</v>
      </c>
      <c r="F37" s="5"/>
      <c r="G37" s="5"/>
      <c r="H37" s="5"/>
      <c r="I37" s="5" t="str">
        <f>IFERROR(__xludf.DUMMYFUNCTION("""COMPUTED_VALUE"""),"")</f>
        <v/>
      </c>
      <c r="J37" s="5" t="str">
        <f>IFERROR(__xludf.DUMMYFUNCTION("""COMPUTED_VALUE"""),"")</f>
        <v/>
      </c>
      <c r="K37" s="24" t="str">
        <f>IFERROR(__xludf.DUMMYFUNCTION("""COMPUTED_VALUE"""),"")</f>
        <v/>
      </c>
      <c r="L37" s="24" t="str">
        <f>IFERROR(__xludf.DUMMYFUNCTION("""COMPUTED_VALUE"""),"Juan")</f>
        <v>Juan</v>
      </c>
      <c r="N37" s="24"/>
      <c r="O37" s="24"/>
      <c r="P37" s="24"/>
      <c r="Q37" s="24"/>
      <c r="R37" s="24"/>
      <c r="S37" s="24"/>
      <c r="T37" s="24"/>
      <c r="U37" s="24"/>
      <c r="V37" s="24"/>
      <c r="W37" s="24"/>
      <c r="X37" s="24"/>
    </row>
    <row r="38">
      <c r="B38" s="17" t="b">
        <f>IFERROR(__xludf.DUMMYFUNCTION("""COMPUTED_VALUE"""),FALSE)</f>
        <v>0</v>
      </c>
      <c r="C38" s="18" t="str">
        <f>IFERROR(__xludf.DUMMYFUNCTION("""COMPUTED_VALUE"""),"Booking.com")</f>
        <v>Booking.com</v>
      </c>
      <c r="D38" s="5">
        <f>IFERROR(__xludf.DUMMYFUNCTION("""COMPUTED_VALUE"""),9.0)</f>
        <v>9</v>
      </c>
      <c r="E38" s="19">
        <f>IFERROR(__xludf.DUMMYFUNCTION("""COMPUTED_VALUE"""),46112.0)</f>
        <v>46112</v>
      </c>
      <c r="F38" s="5"/>
      <c r="G38" s="5"/>
      <c r="H38" s="5"/>
      <c r="I38" s="5" t="str">
        <f>IFERROR(__xludf.DUMMYFUNCTION("""COMPUTED_VALUE"""),"")</f>
        <v/>
      </c>
      <c r="J38" s="5" t="str">
        <f>IFERROR(__xludf.DUMMYFUNCTION("""COMPUTED_VALUE"""),"")</f>
        <v/>
      </c>
      <c r="K38" s="24" t="str">
        <f>IFERROR(__xludf.DUMMYFUNCTION("""COMPUTED_VALUE"""),"")</f>
        <v/>
      </c>
      <c r="L38" s="24" t="str">
        <f>IFERROR(__xludf.DUMMYFUNCTION("""COMPUTED_VALUE"""),"Andrew")</f>
        <v>Andrew</v>
      </c>
      <c r="N38" s="24"/>
      <c r="O38" s="24"/>
      <c r="P38" s="24"/>
      <c r="Q38" s="24"/>
      <c r="R38" s="24"/>
      <c r="S38" s="24"/>
      <c r="T38" s="24"/>
      <c r="U38" s="24"/>
      <c r="V38" s="24"/>
      <c r="W38" s="24"/>
      <c r="X38" s="24"/>
    </row>
    <row r="39">
      <c r="B39" s="17" t="b">
        <f>IFERROR(__xludf.DUMMYFUNCTION("""COMPUTED_VALUE"""),FALSE)</f>
        <v>0</v>
      </c>
      <c r="C39" s="24" t="str">
        <f>IFERROR(__xludf.DUMMYFUNCTION("""COMPUTED_VALUE"""),"楽天トラベル")</f>
        <v>楽天トラベル</v>
      </c>
      <c r="D39" s="5">
        <f>IFERROR(__xludf.DUMMYFUNCTION("""COMPUTED_VALUE"""),4.0)</f>
        <v>4</v>
      </c>
      <c r="E39" s="19">
        <f>IFERROR(__xludf.DUMMYFUNCTION("""COMPUTED_VALUE"""),46112.0)</f>
        <v>46112</v>
      </c>
      <c r="F39"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39" s="5"/>
      <c r="H39" s="5"/>
      <c r="I39"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39" s="5" t="str">
        <f>IFERROR(__xludf.DUMMYFUNCTION("""COMPUTED_VALUE"""),"")</f>
        <v/>
      </c>
      <c r="K39" s="24" t="str">
        <f>IFERROR(__xludf.DUMMYFUNCTION("""COMPUTED_VALUE"""),"")</f>
        <v/>
      </c>
      <c r="L39" s="24" t="str">
        <f>IFERROR(__xludf.DUMMYFUNCTION("""COMPUTED_VALUE"""),"W220S55LKUNI")</f>
        <v>W220S55LKUNI</v>
      </c>
      <c r="N39" s="24"/>
      <c r="O39" s="24"/>
      <c r="P39" s="24"/>
      <c r="Q39" s="24"/>
      <c r="R39" s="24"/>
      <c r="S39" s="24"/>
      <c r="T39" s="24"/>
      <c r="U39" s="24"/>
      <c r="V39" s="24"/>
      <c r="W39" s="24"/>
      <c r="X39" s="24"/>
    </row>
    <row r="40">
      <c r="B40" s="17" t="b">
        <f>IFERROR(__xludf.DUMMYFUNCTION("""COMPUTED_VALUE"""),FALSE)</f>
        <v>0</v>
      </c>
      <c r="C40" s="18" t="str">
        <f>IFERROR(__xludf.DUMMYFUNCTION("""COMPUTED_VALUE"""),"Booking.com")</f>
        <v>Booking.com</v>
      </c>
      <c r="D40" s="5">
        <f>IFERROR(__xludf.DUMMYFUNCTION("""COMPUTED_VALUE"""),8.0)</f>
        <v>8</v>
      </c>
      <c r="E40" s="19">
        <f>IFERROR(__xludf.DUMMYFUNCTION("""COMPUTED_VALUE"""),46111.0)</f>
        <v>46111</v>
      </c>
      <c r="F40" s="5"/>
      <c r="G40" s="5" t="str">
        <f>IFERROR(__xludf.DUMMYFUNCTION("""COMPUTED_VALUE"""),"交通方便，附近也有很多超商及24小時的樂天超市")</f>
        <v>交通方便，附近也有很多超商及24小時的樂天超市</v>
      </c>
      <c r="H40" s="5"/>
      <c r="I40" s="5" t="str">
        <f>IFERROR(__xludf.DUMMYFUNCTION("""COMPUTED_VALUE"""),"")</f>
        <v/>
      </c>
      <c r="J40"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40" s="24" t="str">
        <f>IFERROR(__xludf.DUMMYFUNCTION("""COMPUTED_VALUE"""),"")</f>
        <v/>
      </c>
      <c r="L40" s="24" t="str">
        <f>IFERROR(__xludf.DUMMYFUNCTION("""COMPUTED_VALUE"""),"家儀")</f>
        <v>家儀</v>
      </c>
      <c r="N40" s="24"/>
      <c r="O40" s="24"/>
      <c r="P40" s="24"/>
      <c r="Q40" s="24"/>
      <c r="R40" s="24"/>
      <c r="S40" s="24"/>
      <c r="T40" s="24"/>
      <c r="U40" s="24"/>
      <c r="V40" s="24"/>
      <c r="W40" s="24"/>
      <c r="X40" s="24"/>
    </row>
    <row r="41">
      <c r="B41" s="17" t="b">
        <f>IFERROR(__xludf.DUMMYFUNCTION("""COMPUTED_VALUE"""),FALSE)</f>
        <v>0</v>
      </c>
      <c r="C41" s="18" t="str">
        <f>IFERROR(__xludf.DUMMYFUNCTION("""COMPUTED_VALUE"""),"Trip.com")</f>
        <v>Trip.com</v>
      </c>
      <c r="D41" s="5">
        <f>IFERROR(__xludf.DUMMYFUNCTION("""COMPUTED_VALUE"""),9.0)</f>
        <v>9</v>
      </c>
      <c r="E41" s="19">
        <f>IFERROR(__xludf.DUMMYFUNCTION("""COMPUTED_VALUE"""),46111.0)</f>
        <v>46111</v>
      </c>
      <c r="F41" s="5" t="str">
        <f>IFERROR(__xludf.DUMMYFUNCTION("""COMPUTED_VALUE"""),"整體感覺相當滿意，離車站近，步行5分鐘左右就到！")</f>
        <v>整體感覺相當滿意，離車站近，步行5分鐘左右就到！</v>
      </c>
      <c r="G41" s="5"/>
      <c r="H41" s="5"/>
      <c r="I41" s="5" t="str">
        <f>IFERROR(__xludf.DUMMYFUNCTION("""COMPUTED_VALUE"""),"全体的にとても満足しています。駅からも近く、徒歩わずか5分ほどです！")</f>
        <v>全体的にとても満足しています。駅からも近く、徒歩わずか5分ほどです！</v>
      </c>
      <c r="J41" s="5" t="str">
        <f>IFERROR(__xludf.DUMMYFUNCTION("""COMPUTED_VALUE"""),"")</f>
        <v/>
      </c>
      <c r="K41" s="24" t="str">
        <f>IFERROR(__xludf.DUMMYFUNCTION("""COMPUTED_VALUE"""),"")</f>
        <v/>
      </c>
      <c r="L41" s="24" t="str">
        <f>IFERROR(__xludf.DUMMYFUNCTION("""COMPUTED_VALUE"""),"ゲ‍ス‍ト")</f>
        <v>ゲ‍ス‍ト</v>
      </c>
      <c r="N41" s="24"/>
      <c r="O41" s="24"/>
      <c r="P41" s="24"/>
      <c r="Q41" s="24"/>
      <c r="R41" s="24"/>
      <c r="S41" s="24"/>
      <c r="T41" s="24"/>
      <c r="U41" s="24"/>
      <c r="V41" s="24"/>
      <c r="W41" s="24"/>
      <c r="X41" s="24"/>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IFERROR(__xludf.DUMMYFUNCTION("""COMPUTED_VALUE"""),46111.0)</f>
        <v>46111</v>
      </c>
      <c r="F42"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42" s="5"/>
      <c r="H42" s="5"/>
      <c r="I42"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42" s="5" t="str">
        <f>IFERROR(__xludf.DUMMYFUNCTION("""COMPUTED_VALUE"""),"")</f>
        <v/>
      </c>
      <c r="K42" s="24" t="str">
        <f>IFERROR(__xludf.DUMMYFUNCTION("""COMPUTED_VALUE"""),"")</f>
        <v/>
      </c>
      <c r="L42" s="24" t="str">
        <f>IFERROR(__xludf.DUMMYFUNCTION("""COMPUTED_VALUE"""),"ゲ‍ス‍ト")</f>
        <v>ゲ‍ス‍ト</v>
      </c>
      <c r="N42" s="24"/>
      <c r="O42" s="24"/>
      <c r="P42" s="24"/>
      <c r="Q42" s="24"/>
      <c r="R42" s="24"/>
      <c r="S42" s="24"/>
      <c r="T42" s="24"/>
      <c r="U42" s="24"/>
      <c r="V42" s="24"/>
      <c r="W42" s="24"/>
      <c r="X42" s="24"/>
    </row>
    <row r="43">
      <c r="B43" s="17" t="b">
        <f>IFERROR(__xludf.DUMMYFUNCTION("""COMPUTED_VALUE"""),FALSE)</f>
        <v>0</v>
      </c>
      <c r="C43" s="18" t="str">
        <f>IFERROR(__xludf.DUMMYFUNCTION("""COMPUTED_VALUE"""),"Trip.com")</f>
        <v>Trip.com</v>
      </c>
      <c r="D43" s="5">
        <f>IFERROR(__xludf.DUMMYFUNCTION("""COMPUTED_VALUE"""),10.0)</f>
        <v>10</v>
      </c>
      <c r="E43" s="19">
        <f>IFERROR(__xludf.DUMMYFUNCTION("""COMPUTED_VALUE"""),46111.0)</f>
        <v>46111</v>
      </c>
      <c r="F43" s="5" t="str">
        <f>IFERROR(__xludf.DUMMYFUNCTION("""COMPUTED_VALUE"""),"駅近ですが、静かで快適でした。")</f>
        <v>駅近ですが、静かで快適でした。</v>
      </c>
      <c r="G43" s="5"/>
      <c r="H43" s="5"/>
      <c r="I43" s="5" t="str">
        <f>IFERROR(__xludf.DUMMYFUNCTION("""COMPUTED_VALUE"""),"駅近ですが、静かで快適でした。")</f>
        <v>駅近ですが、静かで快適でした。</v>
      </c>
      <c r="J43" s="5" t="str">
        <f>IFERROR(__xludf.DUMMYFUNCTION("""COMPUTED_VALUE"""),"")</f>
        <v/>
      </c>
      <c r="K43" s="24" t="str">
        <f>IFERROR(__xludf.DUMMYFUNCTION("""COMPUTED_VALUE"""),"")</f>
        <v/>
      </c>
      <c r="L43" s="24" t="str">
        <f>IFERROR(__xludf.DUMMYFUNCTION("""COMPUTED_VALUE"""),"ゲ‍ス‍ト")</f>
        <v>ゲ‍ス‍ト</v>
      </c>
      <c r="N43" s="24"/>
      <c r="O43" s="24"/>
      <c r="P43" s="24"/>
      <c r="Q43" s="24"/>
      <c r="R43" s="24"/>
      <c r="S43" s="24"/>
      <c r="T43" s="24"/>
      <c r="U43" s="24"/>
      <c r="V43" s="24"/>
      <c r="W43" s="24"/>
      <c r="X43" s="24"/>
    </row>
    <row r="44">
      <c r="B44" s="17" t="b">
        <f>IFERROR(__xludf.DUMMYFUNCTION("""COMPUTED_VALUE"""),FALSE)</f>
        <v>0</v>
      </c>
      <c r="C44" s="24" t="str">
        <f>IFERROR(__xludf.DUMMYFUNCTION("""COMPUTED_VALUE"""),"Google")</f>
        <v>Google</v>
      </c>
      <c r="D44" s="5">
        <f>IFERROR(__xludf.DUMMYFUNCTION("""COMPUTED_VALUE"""),4.0)</f>
        <v>4</v>
      </c>
      <c r="E44" s="19">
        <f>IFERROR(__xludf.DUMMYFUNCTION("""COMPUTED_VALUE"""),46111.0)</f>
        <v>46111</v>
      </c>
      <c r="F44" s="5" t="str">
        <f>IFERROR(__xludf.DUMMYFUNCTION("""COMPUTED_VALUE"""),"錦糸町駅から徒歩圏内の便利な立地にあるホテルです。")</f>
        <v>錦糸町駅から徒歩圏内の便利な立地にあるホテルです。</v>
      </c>
      <c r="G44" s="5"/>
      <c r="H44" s="5"/>
      <c r="I44" s="5" t="str">
        <f>IFERROR(__xludf.DUMMYFUNCTION("""COMPUTED_VALUE"""),"錦糸町駅から徒歩圏内の便利な立地にあるホテルです。")</f>
        <v>錦糸町駅から徒歩圏内の便利な立地にあるホテルです。</v>
      </c>
      <c r="J44" s="5" t="str">
        <f>IFERROR(__xludf.DUMMYFUNCTION("""COMPUTED_VALUE"""),"")</f>
        <v/>
      </c>
      <c r="K44" s="24" t="str">
        <f>IFERROR(__xludf.DUMMYFUNCTION("""COMPUTED_VALUE"""),"")</f>
        <v/>
      </c>
      <c r="L44" s="24" t="str">
        <f>IFERROR(__xludf.DUMMYFUNCTION("""COMPUTED_VALUE"""),"Shimla Diaries")</f>
        <v>Shimla Diaries</v>
      </c>
      <c r="N44" s="24"/>
      <c r="O44" s="24"/>
      <c r="P44" s="24"/>
      <c r="Q44" s="24"/>
      <c r="R44" s="24"/>
      <c r="S44" s="24"/>
      <c r="T44" s="24"/>
      <c r="U44" s="24"/>
      <c r="V44" s="24"/>
      <c r="W44" s="24"/>
      <c r="X44" s="24"/>
    </row>
    <row r="45">
      <c r="B45" s="17" t="b">
        <f>IFERROR(__xludf.DUMMYFUNCTION("""COMPUTED_VALUE"""),FALSE)</f>
        <v>0</v>
      </c>
      <c r="C45" s="24" t="str">
        <f>IFERROR(__xludf.DUMMYFUNCTION("""COMPUTED_VALUE"""),"Google")</f>
        <v>Google</v>
      </c>
      <c r="D45" s="5">
        <f>IFERROR(__xludf.DUMMYFUNCTION("""COMPUTED_VALUE"""),4.0)</f>
        <v>4</v>
      </c>
      <c r="E45" s="19">
        <f>IFERROR(__xludf.DUMMYFUNCTION("""COMPUTED_VALUE"""),46111.0)</f>
        <v>46111</v>
      </c>
      <c r="F45" s="5" t="str">
        <f>IFERROR(__xludf.DUMMYFUNCTION("""COMPUTED_VALUE"""),"Perfectly located hotel centrally located and walking distance to Kinshichō station")</f>
        <v>Perfectly located hotel centrally located and walking distance to Kinshichō station</v>
      </c>
      <c r="G45" s="5"/>
      <c r="H45" s="5"/>
      <c r="I45" s="5" t="str">
        <f>IFERROR(__xludf.DUMMYFUNCTION("""COMPUTED_VALUE"""),"錦糸町駅から徒歩圏内の便利な立地にあるホテルです。")</f>
        <v>錦糸町駅から徒歩圏内の便利な立地にあるホテルです。</v>
      </c>
      <c r="J45" s="5" t="str">
        <f>IFERROR(__xludf.DUMMYFUNCTION("""COMPUTED_VALUE"""),"")</f>
        <v/>
      </c>
      <c r="K45" s="24" t="str">
        <f>IFERROR(__xludf.DUMMYFUNCTION("""COMPUTED_VALUE"""),"")</f>
        <v/>
      </c>
      <c r="L45" s="24" t="str">
        <f>IFERROR(__xludf.DUMMYFUNCTION("""COMPUTED_VALUE"""),"Shimla Diaries")</f>
        <v>Shimla Diaries</v>
      </c>
      <c r="N45" s="24"/>
      <c r="O45" s="24"/>
      <c r="P45" s="24"/>
      <c r="Q45" s="24"/>
      <c r="R45" s="24"/>
      <c r="S45" s="24"/>
      <c r="T45" s="24"/>
      <c r="U45" s="24"/>
      <c r="V45" s="24"/>
      <c r="W45" s="24"/>
      <c r="X45" s="24"/>
    </row>
    <row r="46">
      <c r="B46" s="17" t="b">
        <f>IFERROR(__xludf.DUMMYFUNCTION("""COMPUTED_VALUE"""),FALSE)</f>
        <v>0</v>
      </c>
      <c r="C46" s="18" t="str">
        <f>IFERROR(__xludf.DUMMYFUNCTION("""COMPUTED_VALUE"""),"Trip.com")</f>
        <v>Trip.com</v>
      </c>
      <c r="D46" s="5">
        <f>IFERROR(__xludf.DUMMYFUNCTION("""COMPUTED_VALUE"""),10.0)</f>
        <v>10</v>
      </c>
      <c r="E46" s="19">
        <f>IFERROR(__xludf.DUMMYFUNCTION("""COMPUTED_VALUE"""),46110.0)</f>
        <v>46110</v>
      </c>
      <c r="F46" s="5" t="str">
        <f>IFERROR(__xludf.DUMMYFUNCTION("""COMPUTED_VALUE"""),"挺不錯的酒店👍")</f>
        <v>挺不錯的酒店👍</v>
      </c>
      <c r="G46" s="5"/>
      <c r="H46" s="5"/>
      <c r="I46" s="5" t="str">
        <f>IFERROR(__xludf.DUMMYFUNCTION("""COMPUTED_VALUE"""),"とても素敵なホテルですね👍")</f>
        <v>とても素敵なホテルですね👍</v>
      </c>
      <c r="J46" s="5" t="str">
        <f>IFERROR(__xludf.DUMMYFUNCTION("""COMPUTED_VALUE"""),"")</f>
        <v/>
      </c>
      <c r="K46" s="24" t="str">
        <f>IFERROR(__xludf.DUMMYFUNCTION("""COMPUTED_VALUE"""),"")</f>
        <v/>
      </c>
      <c r="L46" s="24" t="str">
        <f>IFERROR(__xludf.DUMMYFUNCTION("""COMPUTED_VALUE"""),"ゲ‍ス‍ト")</f>
        <v>ゲ‍ス‍ト</v>
      </c>
      <c r="N46" s="24"/>
      <c r="O46" s="24"/>
      <c r="P46" s="24"/>
      <c r="Q46" s="24"/>
      <c r="R46" s="24"/>
      <c r="S46" s="24"/>
      <c r="T46" s="24"/>
      <c r="U46" s="24"/>
      <c r="V46" s="24"/>
      <c r="W46" s="24"/>
      <c r="X46" s="24"/>
    </row>
    <row r="47">
      <c r="B47" s="17" t="b">
        <f>IFERROR(__xludf.DUMMYFUNCTION("""COMPUTED_VALUE"""),FALSE)</f>
        <v>0</v>
      </c>
      <c r="C47" s="18" t="str">
        <f>IFERROR(__xludf.DUMMYFUNCTION("""COMPUTED_VALUE"""),"Booking.com")</f>
        <v>Booking.com</v>
      </c>
      <c r="D47" s="5">
        <f>IFERROR(__xludf.DUMMYFUNCTION("""COMPUTED_VALUE"""),8.0)</f>
        <v>8</v>
      </c>
      <c r="E47" s="19">
        <f>IFERROR(__xludf.DUMMYFUNCTION("""COMPUTED_VALUE"""),46110.0)</f>
        <v>46110</v>
      </c>
      <c r="F47" s="5"/>
      <c r="G47" s="5" t="str">
        <f>IFERROR(__xludf.DUMMYFUNCTION("""COMPUTED_VALUE"""),"部屋がきれいだった")</f>
        <v>部屋がきれいだった</v>
      </c>
      <c r="H47" s="5" t="str">
        <f>IFERROR(__xludf.DUMMYFUNCTION("""COMPUTED_VALUE"""),"ちょっと高い")</f>
        <v>ちょっと高い</v>
      </c>
      <c r="I47" s="5" t="str">
        <f>IFERROR(__xludf.DUMMYFUNCTION("""COMPUTED_VALUE"""),"")</f>
        <v/>
      </c>
      <c r="J47" s="5" t="str">
        <f>IFERROR(__xludf.DUMMYFUNCTION("""COMPUTED_VALUE"""),"部屋がきれいだった")</f>
        <v>部屋がきれいだった</v>
      </c>
      <c r="K47" s="24" t="str">
        <f>IFERROR(__xludf.DUMMYFUNCTION("""COMPUTED_VALUE"""),"ちょっと高い")</f>
        <v>ちょっと高い</v>
      </c>
      <c r="L47" s="24" t="str">
        <f>IFERROR(__xludf.DUMMYFUNCTION("""COMPUTED_VALUE"""),"Rie")</f>
        <v>Rie</v>
      </c>
      <c r="N47" s="24"/>
      <c r="O47" s="24"/>
      <c r="P47" s="24"/>
      <c r="Q47" s="24"/>
      <c r="R47" s="24"/>
      <c r="S47" s="24"/>
      <c r="T47" s="24"/>
      <c r="U47" s="24"/>
      <c r="V47" s="24"/>
      <c r="W47" s="24"/>
      <c r="X47" s="24"/>
    </row>
    <row r="48">
      <c r="B48" s="17" t="b">
        <f>IFERROR(__xludf.DUMMYFUNCTION("""COMPUTED_VALUE"""),FALSE)</f>
        <v>0</v>
      </c>
      <c r="C48" s="18" t="str">
        <f>IFERROR(__xludf.DUMMYFUNCTION("""COMPUTED_VALUE"""),"Booking.com")</f>
        <v>Booking.com</v>
      </c>
      <c r="D48" s="5">
        <f>IFERROR(__xludf.DUMMYFUNCTION("""COMPUTED_VALUE"""),8.0)</f>
        <v>8</v>
      </c>
      <c r="E48" s="19">
        <f>IFERROR(__xludf.DUMMYFUNCTION("""COMPUTED_VALUE"""),46110.0)</f>
        <v>46110</v>
      </c>
      <c r="F48" s="5"/>
      <c r="G48"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48"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48" s="5" t="str">
        <f>IFERROR(__xludf.DUMMYFUNCTION("""COMPUTED_VALUE"""),"")</f>
        <v/>
      </c>
      <c r="J48"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48"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48" s="24" t="str">
        <f>IFERROR(__xludf.DUMMYFUNCTION("""COMPUTED_VALUE"""),"Pani")</f>
        <v>Pani</v>
      </c>
      <c r="N48" s="24"/>
      <c r="O48" s="24"/>
      <c r="P48" s="24"/>
      <c r="Q48" s="24"/>
      <c r="R48" s="24"/>
      <c r="S48" s="24"/>
      <c r="T48" s="24"/>
      <c r="U48" s="24"/>
      <c r="V48" s="24"/>
      <c r="W48" s="24"/>
      <c r="X48" s="24"/>
    </row>
    <row r="49">
      <c r="B49" s="17" t="b">
        <f>IFERROR(__xludf.DUMMYFUNCTION("""COMPUTED_VALUE"""),FALSE)</f>
        <v>0</v>
      </c>
      <c r="C49" s="18" t="str">
        <f>IFERROR(__xludf.DUMMYFUNCTION("""COMPUTED_VALUE"""),"Trip.com")</f>
        <v>Trip.com</v>
      </c>
      <c r="D49" s="5">
        <f>IFERROR(__xludf.DUMMYFUNCTION("""COMPUTED_VALUE"""),10.0)</f>
        <v>10</v>
      </c>
      <c r="E49" s="19">
        <f>IFERROR(__xludf.DUMMYFUNCTION("""COMPUTED_VALUE"""),46108.0)</f>
        <v>46108</v>
      </c>
      <c r="F49"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49" s="5"/>
      <c r="H49" s="5"/>
      <c r="I49"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49" s="5" t="str">
        <f>IFERROR(__xludf.DUMMYFUNCTION("""COMPUTED_VALUE"""),"")</f>
        <v/>
      </c>
      <c r="K49" s="24" t="str">
        <f>IFERROR(__xludf.DUMMYFUNCTION("""COMPUTED_VALUE"""),"")</f>
        <v/>
      </c>
      <c r="L49" s="24" t="str">
        <f>IFERROR(__xludf.DUMMYFUNCTION("""COMPUTED_VALUE"""),"ゲ‍ス‍ト")</f>
        <v>ゲ‍ス‍ト</v>
      </c>
      <c r="N49" s="24"/>
      <c r="O49" s="24"/>
      <c r="P49" s="24"/>
      <c r="Q49" s="24"/>
      <c r="R49" s="24"/>
      <c r="S49" s="24"/>
      <c r="T49" s="24"/>
      <c r="U49" s="24"/>
      <c r="V49" s="24"/>
      <c r="W49" s="24"/>
      <c r="X49" s="24"/>
    </row>
    <row r="50">
      <c r="B50" s="17" t="b">
        <f>IFERROR(__xludf.DUMMYFUNCTION("""COMPUTED_VALUE"""),FALSE)</f>
        <v>0</v>
      </c>
      <c r="C50" s="18" t="str">
        <f>IFERROR(__xludf.DUMMYFUNCTION("""COMPUTED_VALUE"""),"Trip.com")</f>
        <v>Trip.com</v>
      </c>
      <c r="D50" s="5">
        <f>IFERROR(__xludf.DUMMYFUNCTION("""COMPUTED_VALUE"""),4.0)</f>
        <v>4</v>
      </c>
      <c r="E50" s="19">
        <f>IFERROR(__xludf.DUMMYFUNCTION("""COMPUTED_VALUE"""),46108.0)</f>
        <v>46108</v>
      </c>
      <c r="F50" s="5" t="str">
        <f>IFERROR(__xludf.DUMMYFUNCTION("""COMPUTED_VALUE"""),"有啲污糟，隔音好差")</f>
        <v>有啲污糟，隔音好差</v>
      </c>
      <c r="G50" s="5"/>
      <c r="H50" s="5"/>
      <c r="I50" s="5" t="str">
        <f>IFERROR(__xludf.DUMMYFUNCTION("""COMPUTED_VALUE"""),"少し汚れていて、防音性も低い。")</f>
        <v>少し汚れていて、防音性も低い。</v>
      </c>
      <c r="J50" s="5" t="str">
        <f>IFERROR(__xludf.DUMMYFUNCTION("""COMPUTED_VALUE"""),"")</f>
        <v/>
      </c>
      <c r="K50" s="24" t="str">
        <f>IFERROR(__xludf.DUMMYFUNCTION("""COMPUTED_VALUE"""),"")</f>
        <v/>
      </c>
      <c r="L50" s="24" t="str">
        <f>IFERROR(__xludf.DUMMYFUNCTION("""COMPUTED_VALUE"""),"i‍l‍o‍v‍e‍f‍r‍i‍e‍d‍r‍i‍c‍e")</f>
        <v>i‍l‍o‍v‍e‍f‍r‍i‍e‍d‍r‍i‍c‍e</v>
      </c>
      <c r="N50" s="24"/>
      <c r="O50" s="24"/>
      <c r="P50" s="24"/>
      <c r="Q50" s="24"/>
      <c r="R50" s="24"/>
      <c r="S50" s="24"/>
      <c r="T50" s="24"/>
      <c r="U50" s="24"/>
      <c r="V50" s="24"/>
      <c r="W50" s="24"/>
      <c r="X50" s="24"/>
    </row>
    <row r="51">
      <c r="B51" s="17" t="b">
        <f>IFERROR(__xludf.DUMMYFUNCTION("""COMPUTED_VALUE"""),FALSE)</f>
        <v>0</v>
      </c>
      <c r="C51" s="18" t="str">
        <f>IFERROR(__xludf.DUMMYFUNCTION("""COMPUTED_VALUE"""),"Trip.com")</f>
        <v>Trip.com</v>
      </c>
      <c r="D51" s="5">
        <f>IFERROR(__xludf.DUMMYFUNCTION("""COMPUTED_VALUE"""),10.0)</f>
        <v>10</v>
      </c>
      <c r="E51" s="19">
        <f>IFERROR(__xludf.DUMMYFUNCTION("""COMPUTED_VALUE"""),46108.0)</f>
        <v>46108</v>
      </c>
      <c r="F51" s="5" t="str">
        <f>IFERROR(__xludf.DUMMYFUNCTION("""COMPUTED_VALUE"""),"Very good and interesting location and the great view of the city")</f>
        <v>Very good and interesting location and the great view of the city</v>
      </c>
      <c r="G51" s="5"/>
      <c r="H51" s="5"/>
      <c r="I51" s="5" t="str">
        <f>IFERROR(__xludf.DUMMYFUNCTION("""COMPUTED_VALUE"""),"立地が非常に良く、街の眺めも素晴らしい。")</f>
        <v>立地が非常に良く、街の眺めも素晴らしい。</v>
      </c>
      <c r="J51" s="5" t="str">
        <f>IFERROR(__xludf.DUMMYFUNCTION("""COMPUTED_VALUE"""),"")</f>
        <v/>
      </c>
      <c r="K51" s="24" t="str">
        <f>IFERROR(__xludf.DUMMYFUNCTION("""COMPUTED_VALUE"""),"")</f>
        <v/>
      </c>
      <c r="L51" s="24" t="str">
        <f>IFERROR(__xludf.DUMMYFUNCTION("""COMPUTED_VALUE"""),"A‍l‍e‍x‍e‍y‍ ‍P‍o‍l‍o‍v‍n‍i‍k‍o‍v")</f>
        <v>A‍l‍e‍x‍e‍y‍ ‍P‍o‍l‍o‍v‍n‍i‍k‍o‍v</v>
      </c>
      <c r="N51" s="24"/>
      <c r="O51" s="24"/>
      <c r="P51" s="24"/>
      <c r="Q51" s="24"/>
      <c r="R51" s="24"/>
      <c r="S51" s="24"/>
      <c r="T51" s="24"/>
      <c r="U51" s="24"/>
      <c r="V51" s="24"/>
      <c r="W51" s="24"/>
      <c r="X51" s="24"/>
    </row>
    <row r="52">
      <c r="B52" s="17" t="b">
        <f>IFERROR(__xludf.DUMMYFUNCTION("""COMPUTED_VALUE"""),FALSE)</f>
        <v>0</v>
      </c>
      <c r="C52" s="18" t="str">
        <f>IFERROR(__xludf.DUMMYFUNCTION("""COMPUTED_VALUE"""),"Booking.com")</f>
        <v>Booking.com</v>
      </c>
      <c r="D52" s="5">
        <f>IFERROR(__xludf.DUMMYFUNCTION("""COMPUTED_VALUE"""),10.0)</f>
        <v>10</v>
      </c>
      <c r="E52" s="19">
        <f>IFERROR(__xludf.DUMMYFUNCTION("""COMPUTED_VALUE"""),46108.0)</f>
        <v>46108</v>
      </c>
      <c r="F52" s="5"/>
      <c r="G52" s="5"/>
      <c r="H52" s="5"/>
      <c r="I52" s="5" t="str">
        <f>IFERROR(__xludf.DUMMYFUNCTION("""COMPUTED_VALUE"""),"")</f>
        <v/>
      </c>
      <c r="J52" s="5" t="str">
        <f>IFERROR(__xludf.DUMMYFUNCTION("""COMPUTED_VALUE"""),"")</f>
        <v/>
      </c>
      <c r="K52" s="24" t="str">
        <f>IFERROR(__xludf.DUMMYFUNCTION("""COMPUTED_VALUE"""),"")</f>
        <v/>
      </c>
      <c r="L52" s="24" t="str">
        <f>IFERROR(__xludf.DUMMYFUNCTION("""COMPUTED_VALUE"""),"佳萾")</f>
        <v>佳萾</v>
      </c>
      <c r="N52" s="24"/>
      <c r="O52" s="24"/>
      <c r="P52" s="24"/>
      <c r="Q52" s="24"/>
      <c r="R52" s="24"/>
      <c r="S52" s="24"/>
      <c r="T52" s="24"/>
      <c r="U52" s="24"/>
      <c r="V52" s="24"/>
      <c r="W52" s="24"/>
      <c r="X52" s="24"/>
    </row>
    <row r="53">
      <c r="B53" s="17" t="b">
        <f>IFERROR(__xludf.DUMMYFUNCTION("""COMPUTED_VALUE"""),FALSE)</f>
        <v>0</v>
      </c>
      <c r="C53" s="18" t="str">
        <f>IFERROR(__xludf.DUMMYFUNCTION("""COMPUTED_VALUE"""),"Booking.com")</f>
        <v>Booking.com</v>
      </c>
      <c r="D53" s="5">
        <f>IFERROR(__xludf.DUMMYFUNCTION("""COMPUTED_VALUE"""),10.0)</f>
        <v>10</v>
      </c>
      <c r="E53" s="19">
        <f>IFERROR(__xludf.DUMMYFUNCTION("""COMPUTED_VALUE"""),46108.0)</f>
        <v>46108</v>
      </c>
      <c r="F53" s="5"/>
      <c r="G53" s="5"/>
      <c r="H53" s="5"/>
      <c r="I53" s="5" t="str">
        <f>IFERROR(__xludf.DUMMYFUNCTION("""COMPUTED_VALUE"""),"")</f>
        <v/>
      </c>
      <c r="J53" s="5" t="str">
        <f>IFERROR(__xludf.DUMMYFUNCTION("""COMPUTED_VALUE"""),"")</f>
        <v/>
      </c>
      <c r="K53" s="24" t="str">
        <f>IFERROR(__xludf.DUMMYFUNCTION("""COMPUTED_VALUE"""),"")</f>
        <v/>
      </c>
      <c r="L53" s="24" t="str">
        <f>IFERROR(__xludf.DUMMYFUNCTION("""COMPUTED_VALUE"""),"Jade")</f>
        <v>Jade</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IFERROR(__xludf.DUMMYFUNCTION("""COMPUTED_VALUE"""),10.0)</f>
        <v>10</v>
      </c>
      <c r="E54" s="19">
        <f>IFERROR(__xludf.DUMMYFUNCTION("""COMPUTED_VALUE"""),46107.0)</f>
        <v>46107</v>
      </c>
      <c r="F54"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54" s="5"/>
      <c r="H54" s="5"/>
      <c r="I54"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IFERROR(__xludf.DUMMYFUNCTION("""COMPUTED_VALUE"""),"Trip.com")</f>
        <v>Trip.com</v>
      </c>
      <c r="D55" s="5">
        <f>IFERROR(__xludf.DUMMYFUNCTION("""COMPUTED_VALUE"""),10.0)</f>
        <v>10</v>
      </c>
      <c r="E55" s="19">
        <f>IFERROR(__xludf.DUMMYFUNCTION("""COMPUTED_VALUE"""),46107.0)</f>
        <v>46107</v>
      </c>
      <c r="F55"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55" s="5"/>
      <c r="H55" s="5"/>
      <c r="I55"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55" s="5" t="str">
        <f>IFERROR(__xludf.DUMMYFUNCTION("""COMPUTED_VALUE"""),"")</f>
        <v/>
      </c>
      <c r="K55" s="24" t="str">
        <f>IFERROR(__xludf.DUMMYFUNCTION("""COMPUTED_VALUE"""),"")</f>
        <v/>
      </c>
      <c r="L55" s="24" t="str">
        <f>IFERROR(__xludf.DUMMYFUNCTION("""COMPUTED_VALUE"""),"ゲ‍ス‍ト")</f>
        <v>ゲ‍ス‍ト</v>
      </c>
      <c r="N55" s="24"/>
      <c r="O55" s="24"/>
      <c r="P55" s="24"/>
      <c r="Q55" s="24"/>
      <c r="R55" s="24"/>
      <c r="S55" s="24"/>
      <c r="T55" s="24"/>
      <c r="U55" s="24"/>
      <c r="V55" s="24"/>
      <c r="W55" s="24"/>
      <c r="X55" s="24"/>
    </row>
    <row r="56">
      <c r="B56" s="17" t="b">
        <f>IFERROR(__xludf.DUMMYFUNCTION("""COMPUTED_VALUE"""),FALSE)</f>
        <v>0</v>
      </c>
      <c r="C56" s="18" t="str">
        <f>IFERROR(__xludf.DUMMYFUNCTION("""COMPUTED_VALUE"""),"Trip.com")</f>
        <v>Trip.com</v>
      </c>
      <c r="D56" s="5">
        <f>IFERROR(__xludf.DUMMYFUNCTION("""COMPUTED_VALUE"""),10.0)</f>
        <v>10</v>
      </c>
      <c r="E56" s="19">
        <f>IFERROR(__xludf.DUMMYFUNCTION("""COMPUTED_VALUE"""),46107.0)</f>
        <v>46107</v>
      </c>
      <c r="F56"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56" s="5"/>
      <c r="H56" s="5"/>
      <c r="I56"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56" s="5" t="str">
        <f>IFERROR(__xludf.DUMMYFUNCTION("""COMPUTED_VALUE"""),"")</f>
        <v/>
      </c>
      <c r="K56" s="24" t="str">
        <f>IFERROR(__xludf.DUMMYFUNCTION("""COMPUTED_VALUE"""),"")</f>
        <v/>
      </c>
      <c r="L56" s="24" t="str">
        <f>IFERROR(__xludf.DUMMYFUNCTION("""COMPUTED_VALUE"""),"匿‍名‍ユ‍ー‍ザ‍ー")</f>
        <v>匿‍名‍ユ‍ー‍ザ‍ー</v>
      </c>
      <c r="N56" s="24"/>
      <c r="O56" s="24"/>
      <c r="P56" s="24"/>
      <c r="Q56" s="24"/>
      <c r="R56" s="24"/>
      <c r="S56" s="24"/>
      <c r="T56" s="24"/>
      <c r="U56" s="24"/>
      <c r="V56" s="24"/>
      <c r="W56" s="24"/>
      <c r="X56" s="24"/>
    </row>
    <row r="57">
      <c r="B57" s="17" t="b">
        <f>IFERROR(__xludf.DUMMYFUNCTION("""COMPUTED_VALUE"""),FALSE)</f>
        <v>0</v>
      </c>
      <c r="C57" s="18" t="str">
        <f>IFERROR(__xludf.DUMMYFUNCTION("""COMPUTED_VALUE"""),"Booking.com")</f>
        <v>Booking.com</v>
      </c>
      <c r="D57" s="5">
        <f>IFERROR(__xludf.DUMMYFUNCTION("""COMPUTED_VALUE"""),10.0)</f>
        <v>10</v>
      </c>
      <c r="E57" s="19">
        <f>IFERROR(__xludf.DUMMYFUNCTION("""COMPUTED_VALUE"""),46107.0)</f>
        <v>46107</v>
      </c>
      <c r="F57" s="5"/>
      <c r="G57" s="5"/>
      <c r="H57" s="5"/>
      <c r="I57" s="5" t="str">
        <f>IFERROR(__xludf.DUMMYFUNCTION("""COMPUTED_VALUE"""),"")</f>
        <v/>
      </c>
      <c r="J57" s="5" t="str">
        <f>IFERROR(__xludf.DUMMYFUNCTION("""COMPUTED_VALUE"""),"")</f>
        <v/>
      </c>
      <c r="K57" s="24" t="str">
        <f>IFERROR(__xludf.DUMMYFUNCTION("""COMPUTED_VALUE"""),"")</f>
        <v/>
      </c>
      <c r="L57" s="24" t="str">
        <f>IFERROR(__xludf.DUMMYFUNCTION("""COMPUTED_VALUE"""),"Liyu")</f>
        <v>Liyu</v>
      </c>
      <c r="N57" s="24"/>
      <c r="O57" s="24"/>
      <c r="P57" s="24"/>
      <c r="Q57" s="24"/>
      <c r="R57" s="24"/>
      <c r="S57" s="24"/>
      <c r="T57" s="24"/>
      <c r="U57" s="24"/>
      <c r="V57" s="24"/>
      <c r="W57" s="24"/>
      <c r="X57" s="24"/>
    </row>
    <row r="58">
      <c r="B58" s="17" t="b">
        <f>IFERROR(__xludf.DUMMYFUNCTION("""COMPUTED_VALUE"""),FALSE)</f>
        <v>0</v>
      </c>
      <c r="C58" s="18" t="str">
        <f>IFERROR(__xludf.DUMMYFUNCTION("""COMPUTED_VALUE"""),"Trip.com")</f>
        <v>Trip.com</v>
      </c>
      <c r="D58" s="5">
        <f>IFERROR(__xludf.DUMMYFUNCTION("""COMPUTED_VALUE"""),9.0)</f>
        <v>9</v>
      </c>
      <c r="E58" s="19">
        <f>IFERROR(__xludf.DUMMYFUNCTION("""COMPUTED_VALUE"""),46107.0)</f>
        <v>46107</v>
      </c>
      <c r="F58"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58" s="5"/>
      <c r="H58" s="5"/>
      <c r="I58"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58" s="5" t="str">
        <f>IFERROR(__xludf.DUMMYFUNCTION("""COMPUTED_VALUE"""),"")</f>
        <v/>
      </c>
      <c r="K58" s="24" t="str">
        <f>IFERROR(__xludf.DUMMYFUNCTION("""COMPUTED_VALUE"""),"")</f>
        <v/>
      </c>
      <c r="L58" s="24" t="str">
        <f>IFERROR(__xludf.DUMMYFUNCTION("""COMPUTED_VALUE"""),"み‍ゆ‍か")</f>
        <v>み‍ゆ‍か</v>
      </c>
      <c r="N58" s="24"/>
      <c r="O58" s="24"/>
      <c r="P58" s="24"/>
      <c r="Q58" s="24"/>
      <c r="R58" s="24"/>
      <c r="S58" s="24"/>
      <c r="T58" s="24"/>
      <c r="U58" s="24"/>
      <c r="V58" s="24"/>
      <c r="W58" s="24"/>
      <c r="X58" s="24"/>
    </row>
    <row r="59">
      <c r="B59" s="24" t="b">
        <f>IFERROR(__xludf.DUMMYFUNCTION("""COMPUTED_VALUE"""),FALSE)</f>
        <v>0</v>
      </c>
      <c r="C59" s="24" t="str">
        <f>IFERROR(__xludf.DUMMYFUNCTION("""COMPUTED_VALUE"""),"Google")</f>
        <v>Google</v>
      </c>
      <c r="D59" s="5">
        <f>IFERROR(__xludf.DUMMYFUNCTION("""COMPUTED_VALUE"""),5.0)</f>
        <v>5</v>
      </c>
      <c r="E59" s="19">
        <f>IFERROR(__xludf.DUMMYFUNCTION("""COMPUTED_VALUE"""),46106.0)</f>
        <v>46106</v>
      </c>
      <c r="F59"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59" s="24"/>
      <c r="H59" s="5"/>
      <c r="I59"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9" s="5" t="str">
        <f>IFERROR(__xludf.DUMMYFUNCTION("""COMPUTED_VALUE"""),"")</f>
        <v/>
      </c>
      <c r="K59" s="24" t="str">
        <f>IFERROR(__xludf.DUMMYFUNCTION("""COMPUTED_VALUE"""),"")</f>
        <v/>
      </c>
      <c r="L59" s="24" t="str">
        <f>IFERROR(__xludf.DUMMYFUNCTION("""COMPUTED_VALUE"""),"Muay Arandyarak")</f>
        <v>Muay Arandyarak</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IFERROR(__xludf.DUMMYFUNCTION("""COMPUTED_VALUE"""),46106.0)</f>
        <v>46106</v>
      </c>
      <c r="F60"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60" s="24"/>
      <c r="H60" s="5"/>
      <c r="I60"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60" s="5" t="str">
        <f>IFERROR(__xludf.DUMMYFUNCTION("""COMPUTED_VALUE"""),"")</f>
        <v/>
      </c>
      <c r="K60" s="24" t="str">
        <f>IFERROR(__xludf.DUMMYFUNCTION("""COMPUTED_VALUE"""),"")</f>
        <v/>
      </c>
      <c r="L60" s="24" t="str">
        <f>IFERROR(__xludf.DUMMYFUNCTION("""COMPUTED_VALUE"""),"A‍m‍y‍ ‍ ‍Ł‍î‍a‍o")</f>
        <v>A‍m‍y‍ ‍ ‍Ł‍î‍a‍o</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IFERROR(__xludf.DUMMYFUNCTION("""COMPUTED_VALUE"""),7.0)</f>
        <v>7</v>
      </c>
      <c r="E61" s="19">
        <f>IFERROR(__xludf.DUMMYFUNCTION("""COMPUTED_VALUE"""),46106.0)</f>
        <v>46106</v>
      </c>
      <c r="F61" s="5" t="str">
        <f>IFERROR(__xludf.DUMMYFUNCTION("""COMPUTED_VALUE"""),"気持ちよく利用できました")</f>
        <v>気持ちよく利用できました</v>
      </c>
      <c r="G61" s="24"/>
      <c r="H61" s="5"/>
      <c r="I61" s="5" t="str">
        <f>IFERROR(__xludf.DUMMYFUNCTION("""COMPUTED_VALUE"""),"気持ちよく利用できました")</f>
        <v>気持ちよく利用できました</v>
      </c>
      <c r="J61" s="5" t="str">
        <f>IFERROR(__xludf.DUMMYFUNCTION("""COMPUTED_VALUE"""),"")</f>
        <v/>
      </c>
      <c r="K61" s="24" t="str">
        <f>IFERROR(__xludf.DUMMYFUNCTION("""COMPUTED_VALUE"""),"")</f>
        <v/>
      </c>
      <c r="L61" s="24" t="str">
        <f>IFERROR(__xludf.DUMMYFUNCTION("""COMPUTED_VALUE"""),"ゲ‍ス‍ト")</f>
        <v>ゲ‍ス‍ト</v>
      </c>
      <c r="N61" s="24"/>
      <c r="O61" s="24"/>
      <c r="P61" s="24"/>
      <c r="Q61" s="24"/>
      <c r="R61" s="24"/>
      <c r="S61" s="24"/>
      <c r="T61" s="24"/>
      <c r="U61" s="24"/>
      <c r="V61" s="24"/>
      <c r="W61" s="24"/>
      <c r="X61" s="24"/>
    </row>
    <row r="62">
      <c r="B62" s="24" t="b">
        <f>IFERROR(__xludf.DUMMYFUNCTION("""COMPUTED_VALUE"""),FALSE)</f>
        <v>0</v>
      </c>
      <c r="C62" s="18" t="str">
        <f>IFERROR(__xludf.DUMMYFUNCTION("""COMPUTED_VALUE"""),"Booking.com")</f>
        <v>Booking.com</v>
      </c>
      <c r="D62" s="5">
        <f>IFERROR(__xludf.DUMMYFUNCTION("""COMPUTED_VALUE"""),10.0)</f>
        <v>10</v>
      </c>
      <c r="E62" s="19">
        <f>IFERROR(__xludf.DUMMYFUNCTION("""COMPUTED_VALUE"""),46106.0)</f>
        <v>46106</v>
      </c>
      <c r="F62" s="5"/>
      <c r="G62" s="24" t="str">
        <f>IFERROR(__xludf.DUMMYFUNCTION("""COMPUTED_VALUE"""),"La proximité avec la gare, Le petit déjeuner, L'accueil et la gentillesse du personnel")</f>
        <v>La proximité avec la gare, Le petit déjeuner, L'accueil et la gentillesse du personnel</v>
      </c>
      <c r="H62" s="5"/>
      <c r="I62" s="5" t="str">
        <f>IFERROR(__xludf.DUMMYFUNCTION("""COMPUTED_VALUE"""),"")</f>
        <v/>
      </c>
      <c r="J62" s="5" t="str">
        <f>IFERROR(__xludf.DUMMYFUNCTION("""COMPUTED_VALUE"""),"駅に近いこと、朝食、スタッフの温かい歓迎と親切さ")</f>
        <v>駅に近いこと、朝食、スタッフの温かい歓迎と親切さ</v>
      </c>
      <c r="K62" s="24" t="str">
        <f>IFERROR(__xludf.DUMMYFUNCTION("""COMPUTED_VALUE"""),"")</f>
        <v/>
      </c>
      <c r="L62" s="24" t="str">
        <f>IFERROR(__xludf.DUMMYFUNCTION("""COMPUTED_VALUE"""),"Thomas")</f>
        <v>Thomas</v>
      </c>
      <c r="N62" s="24"/>
      <c r="O62" s="24"/>
      <c r="P62" s="24"/>
      <c r="Q62" s="24"/>
      <c r="R62" s="24"/>
      <c r="S62" s="24"/>
      <c r="T62" s="24"/>
      <c r="U62" s="24"/>
      <c r="V62" s="24"/>
      <c r="W62" s="24"/>
      <c r="X62" s="24"/>
    </row>
    <row r="63">
      <c r="B63" s="24" t="b">
        <f>IFERROR(__xludf.DUMMYFUNCTION("""COMPUTED_VALUE"""),FALSE)</f>
        <v>0</v>
      </c>
      <c r="C63" s="24" t="str">
        <f>IFERROR(__xludf.DUMMYFUNCTION("""COMPUTED_VALUE"""),"Google")</f>
        <v>Google</v>
      </c>
      <c r="D63" s="5">
        <f>IFERROR(__xludf.DUMMYFUNCTION("""COMPUTED_VALUE"""),5.0)</f>
        <v>5</v>
      </c>
      <c r="E63" s="19">
        <f>IFERROR(__xludf.DUMMYFUNCTION("""COMPUTED_VALUE"""),46106.0)</f>
        <v>46106</v>
      </c>
      <c r="F63"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63" s="24"/>
      <c r="H63" s="5"/>
      <c r="I63"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63" s="5" t="str">
        <f>IFERROR(__xludf.DUMMYFUNCTION("""COMPUTED_VALUE"""),"")</f>
        <v/>
      </c>
      <c r="K63" s="24" t="str">
        <f>IFERROR(__xludf.DUMMYFUNCTION("""COMPUTED_VALUE"""),"")</f>
        <v/>
      </c>
      <c r="L63" s="24" t="str">
        <f>IFERROR(__xludf.DUMMYFUNCTION("""COMPUTED_VALUE"""),"Muay Arandyarak")</f>
        <v>Muay Arandyarak</v>
      </c>
      <c r="N63" s="24"/>
      <c r="O63" s="24"/>
      <c r="P63" s="24"/>
      <c r="Q63" s="24"/>
      <c r="R63" s="24"/>
      <c r="S63" s="24"/>
      <c r="T63" s="24"/>
      <c r="U63" s="24"/>
      <c r="V63" s="24"/>
      <c r="W63" s="24"/>
      <c r="X63" s="24"/>
    </row>
    <row r="64">
      <c r="B64" s="24" t="b">
        <f>IFERROR(__xludf.DUMMYFUNCTION("""COMPUTED_VALUE"""),FALSE)</f>
        <v>0</v>
      </c>
      <c r="C64" s="18" t="str">
        <f>IFERROR(__xludf.DUMMYFUNCTION("""COMPUTED_VALUE"""),"Booking.com")</f>
        <v>Booking.com</v>
      </c>
      <c r="D64" s="5">
        <f>IFERROR(__xludf.DUMMYFUNCTION("""COMPUTED_VALUE"""),10.0)</f>
        <v>10</v>
      </c>
      <c r="E64" s="19">
        <f>IFERROR(__xludf.DUMMYFUNCTION("""COMPUTED_VALUE"""),46105.0)</f>
        <v>46105</v>
      </c>
      <c r="F64" s="5"/>
      <c r="G64"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64" s="5"/>
      <c r="I64" s="5" t="str">
        <f>IFERROR(__xludf.DUMMYFUNCTION("""COMPUTED_VALUE"""),"")</f>
        <v/>
      </c>
      <c r="J64"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64" s="24" t="str">
        <f>IFERROR(__xludf.DUMMYFUNCTION("""COMPUTED_VALUE"""),"")</f>
        <v/>
      </c>
      <c r="L64" s="24" t="str">
        <f>IFERROR(__xludf.DUMMYFUNCTION("""COMPUTED_VALUE"""),"Aleksandr")</f>
        <v>Aleksandr</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IFERROR(__xludf.DUMMYFUNCTION("""COMPUTED_VALUE"""),10.0)</f>
        <v>10</v>
      </c>
      <c r="E65" s="19">
        <f>IFERROR(__xludf.DUMMYFUNCTION("""COMPUTED_VALUE"""),46105.0)</f>
        <v>46105</v>
      </c>
      <c r="F65" s="5"/>
      <c r="G65" s="24"/>
      <c r="H65" s="5"/>
      <c r="I65" s="5" t="str">
        <f>IFERROR(__xludf.DUMMYFUNCTION("""COMPUTED_VALUE"""),"")</f>
        <v/>
      </c>
      <c r="J65" s="5" t="str">
        <f>IFERROR(__xludf.DUMMYFUNCTION("""COMPUTED_VALUE"""),"")</f>
        <v/>
      </c>
      <c r="K65" s="24" t="str">
        <f>IFERROR(__xludf.DUMMYFUNCTION("""COMPUTED_VALUE"""),"")</f>
        <v/>
      </c>
      <c r="L65" s="24" t="str">
        <f>IFERROR(__xludf.DUMMYFUNCTION("""COMPUTED_VALUE"""),"江口")</f>
        <v>江口</v>
      </c>
      <c r="N65" s="24"/>
      <c r="O65" s="24"/>
      <c r="P65" s="24"/>
      <c r="Q65" s="24"/>
      <c r="R65" s="24"/>
      <c r="S65" s="24"/>
      <c r="T65" s="24"/>
      <c r="U65" s="24"/>
      <c r="V65" s="24"/>
      <c r="W65" s="24"/>
      <c r="X65" s="24"/>
    </row>
    <row r="66">
      <c r="B66" s="24" t="b">
        <f>IFERROR(__xludf.DUMMYFUNCTION("""COMPUTED_VALUE"""),FALSE)</f>
        <v>0</v>
      </c>
      <c r="C66" s="18" t="str">
        <f>IFERROR(__xludf.DUMMYFUNCTION("""COMPUTED_VALUE"""),"Trip.com")</f>
        <v>Trip.com</v>
      </c>
      <c r="D66" s="5">
        <f>IFERROR(__xludf.DUMMYFUNCTION("""COMPUTED_VALUE"""),10.0)</f>
        <v>10</v>
      </c>
      <c r="E66" s="19">
        <f>IFERROR(__xludf.DUMMYFUNCTION("""COMPUTED_VALUE"""),46104.0)</f>
        <v>46104</v>
      </c>
      <c r="F66" s="5" t="str">
        <f>IFERROR(__xludf.DUMMYFUNCTION("""COMPUTED_VALUE"""),"酒店員工服務態度良好，房間乾淨企理。整體不錯。")</f>
        <v>酒店員工服務態度良好，房間乾淨企理。整體不錯。</v>
      </c>
      <c r="G66" s="24"/>
      <c r="H66" s="5"/>
      <c r="I66"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66" s="5" t="str">
        <f>IFERROR(__xludf.DUMMYFUNCTION("""COMPUTED_VALUE"""),"")</f>
        <v/>
      </c>
      <c r="K66" s="24" t="str">
        <f>IFERROR(__xludf.DUMMYFUNCTION("""COMPUTED_VALUE"""),"")</f>
        <v/>
      </c>
      <c r="L66" s="24" t="str">
        <f>IFERROR(__xludf.DUMMYFUNCTION("""COMPUTED_VALUE"""),"ゲ‍ス‍ト")</f>
        <v>ゲ‍ス‍ト</v>
      </c>
      <c r="N66" s="24"/>
      <c r="O66" s="24"/>
      <c r="P66" s="24"/>
      <c r="Q66" s="24"/>
      <c r="R66" s="24"/>
      <c r="S66" s="24"/>
      <c r="T66" s="24"/>
      <c r="U66" s="24"/>
      <c r="V66" s="24"/>
      <c r="W66" s="24"/>
      <c r="X66" s="24"/>
    </row>
    <row r="67">
      <c r="B67" s="24" t="b">
        <f>IFERROR(__xludf.DUMMYFUNCTION("""COMPUTED_VALUE"""),FALSE)</f>
        <v>0</v>
      </c>
      <c r="C67" s="18" t="str">
        <f>IFERROR(__xludf.DUMMYFUNCTION("""COMPUTED_VALUE"""),"Booking.com")</f>
        <v>Booking.com</v>
      </c>
      <c r="D67" s="5">
        <f>IFERROR(__xludf.DUMMYFUNCTION("""COMPUTED_VALUE"""),9.0)</f>
        <v>9</v>
      </c>
      <c r="E67" s="19">
        <f>IFERROR(__xludf.DUMMYFUNCTION("""COMPUTED_VALUE"""),46104.0)</f>
        <v>46104</v>
      </c>
      <c r="F67" s="5"/>
      <c r="G67" s="24" t="str">
        <f>IFERROR(__xludf.DUMMYFUNCTION("""COMPUTED_VALUE"""),"部屋が広い、風呂が洗い場が別で、使い良い")</f>
        <v>部屋が広い、風呂が洗い場が別で、使い良い</v>
      </c>
      <c r="H67" s="5" t="str">
        <f>IFERROR(__xludf.DUMMYFUNCTION("""COMPUTED_VALUE"""),"無し")</f>
        <v>無し</v>
      </c>
      <c r="I67" s="5" t="str">
        <f>IFERROR(__xludf.DUMMYFUNCTION("""COMPUTED_VALUE"""),"")</f>
        <v/>
      </c>
      <c r="J67" s="5" t="str">
        <f>IFERROR(__xludf.DUMMYFUNCTION("""COMPUTED_VALUE"""),"部屋が広い、風呂が洗い場が別で、使い良い")</f>
        <v>部屋が広い、風呂が洗い場が別で、使い良い</v>
      </c>
      <c r="K67" s="24" t="str">
        <f>IFERROR(__xludf.DUMMYFUNCTION("""COMPUTED_VALUE"""),"無し")</f>
        <v>無し</v>
      </c>
      <c r="L67" s="24" t="str">
        <f>IFERROR(__xludf.DUMMYFUNCTION("""COMPUTED_VALUE"""),"Seiichi")</f>
        <v>Seiichi</v>
      </c>
      <c r="N67" s="24"/>
      <c r="O67" s="24"/>
      <c r="P67" s="24"/>
      <c r="Q67" s="24"/>
      <c r="R67" s="24"/>
      <c r="S67" s="24"/>
      <c r="T67" s="24"/>
      <c r="U67" s="24"/>
      <c r="V67" s="24"/>
      <c r="W67" s="24"/>
      <c r="X67" s="24"/>
    </row>
    <row r="68">
      <c r="B68" s="24" t="b">
        <f>IFERROR(__xludf.DUMMYFUNCTION("""COMPUTED_VALUE"""),FALSE)</f>
        <v>0</v>
      </c>
      <c r="C68" s="18" t="str">
        <f>IFERROR(__xludf.DUMMYFUNCTION("""COMPUTED_VALUE"""),"Booking.com")</f>
        <v>Booking.com</v>
      </c>
      <c r="D68" s="5">
        <f>IFERROR(__xludf.DUMMYFUNCTION("""COMPUTED_VALUE"""),8.0)</f>
        <v>8</v>
      </c>
      <c r="E68" s="19">
        <f>IFERROR(__xludf.DUMMYFUNCTION("""COMPUTED_VALUE"""),46104.0)</f>
        <v>46104</v>
      </c>
      <c r="F68" s="5"/>
      <c r="G68" s="24" t="str">
        <f>IFERROR(__xludf.DUMMYFUNCTION("""COMPUTED_VALUE"""),"お風呂場が広くて快適だった。")</f>
        <v>お風呂場が広くて快適だった。</v>
      </c>
      <c r="H68" s="5" t="str">
        <f>IFERROR(__xludf.DUMMYFUNCTION("""COMPUTED_VALUE"""),"特になし")</f>
        <v>特になし</v>
      </c>
      <c r="I68" s="5" t="str">
        <f>IFERROR(__xludf.DUMMYFUNCTION("""COMPUTED_VALUE"""),"")</f>
        <v/>
      </c>
      <c r="J68" s="5" t="str">
        <f>IFERROR(__xludf.DUMMYFUNCTION("""COMPUTED_VALUE"""),"お風呂場が広くて快適だった。")</f>
        <v>お風呂場が広くて快適だった。</v>
      </c>
      <c r="K68" s="24" t="str">
        <f>IFERROR(__xludf.DUMMYFUNCTION("""COMPUTED_VALUE"""),"特になし")</f>
        <v>特になし</v>
      </c>
      <c r="L68" s="24" t="str">
        <f>IFERROR(__xludf.DUMMYFUNCTION("""COMPUTED_VALUE"""),"H")</f>
        <v>H</v>
      </c>
      <c r="N68" s="24"/>
      <c r="O68" s="24"/>
      <c r="P68" s="24"/>
      <c r="Q68" s="24"/>
      <c r="R68" s="24"/>
      <c r="S68" s="24"/>
      <c r="T68" s="24"/>
      <c r="U68" s="24"/>
      <c r="V68" s="24"/>
      <c r="W68" s="24"/>
      <c r="X68" s="24"/>
    </row>
    <row r="69">
      <c r="B69" s="24" t="b">
        <f>IFERROR(__xludf.DUMMYFUNCTION("""COMPUTED_VALUE"""),FALSE)</f>
        <v>0</v>
      </c>
      <c r="C69" s="18" t="str">
        <f>IFERROR(__xludf.DUMMYFUNCTION("""COMPUTED_VALUE"""),"Booking.com")</f>
        <v>Booking.com</v>
      </c>
      <c r="D69" s="5">
        <f>IFERROR(__xludf.DUMMYFUNCTION("""COMPUTED_VALUE"""),9.0)</f>
        <v>9</v>
      </c>
      <c r="E69" s="19">
        <f>IFERROR(__xludf.DUMMYFUNCTION("""COMPUTED_VALUE"""),46104.0)</f>
        <v>46104</v>
      </c>
      <c r="F69" s="5"/>
      <c r="G69" s="24"/>
      <c r="H69" s="5"/>
      <c r="I69" s="5" t="str">
        <f>IFERROR(__xludf.DUMMYFUNCTION("""COMPUTED_VALUE"""),"")</f>
        <v/>
      </c>
      <c r="J69" s="5" t="str">
        <f>IFERROR(__xludf.DUMMYFUNCTION("""COMPUTED_VALUE"""),"")</f>
        <v/>
      </c>
      <c r="K69" s="24" t="str">
        <f>IFERROR(__xludf.DUMMYFUNCTION("""COMPUTED_VALUE"""),"")</f>
        <v/>
      </c>
      <c r="L69" s="24" t="str">
        <f>IFERROR(__xludf.DUMMYFUNCTION("""COMPUTED_VALUE"""),"Kc")</f>
        <v>Kc</v>
      </c>
      <c r="N69" s="24"/>
      <c r="O69" s="24"/>
      <c r="P69" s="24"/>
      <c r="Q69" s="24"/>
      <c r="R69" s="24"/>
      <c r="S69" s="24"/>
      <c r="T69" s="24"/>
      <c r="U69" s="24"/>
      <c r="V69" s="24"/>
      <c r="W69" s="24"/>
      <c r="X69" s="24"/>
    </row>
    <row r="70">
      <c r="B70" s="24" t="b">
        <f>IFERROR(__xludf.DUMMYFUNCTION("""COMPUTED_VALUE"""),FALSE)</f>
        <v>0</v>
      </c>
      <c r="C70" s="18" t="str">
        <f>IFERROR(__xludf.DUMMYFUNCTION("""COMPUTED_VALUE"""),"Trip.com")</f>
        <v>Trip.com</v>
      </c>
      <c r="D70" s="5">
        <f>IFERROR(__xludf.DUMMYFUNCTION("""COMPUTED_VALUE"""),8.0)</f>
        <v>8</v>
      </c>
      <c r="E70" s="19">
        <f>IFERROR(__xludf.DUMMYFUNCTION("""COMPUTED_VALUE"""),46103.0)</f>
        <v>46103</v>
      </c>
      <c r="F70"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70" s="24"/>
      <c r="H70" s="5"/>
      <c r="I70"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70" s="5" t="str">
        <f>IFERROR(__xludf.DUMMYFUNCTION("""COMPUTED_VALUE"""),"")</f>
        <v/>
      </c>
      <c r="K70" s="24" t="str">
        <f>IFERROR(__xludf.DUMMYFUNCTION("""COMPUTED_VALUE"""),"")</f>
        <v/>
      </c>
      <c r="L70" s="24" t="str">
        <f>IFERROR(__xludf.DUMMYFUNCTION("""COMPUTED_VALUE"""),"O‍w‍s‍ ‍O‍w‍l‍s")</f>
        <v>O‍w‍s‍ ‍O‍w‍l‍s</v>
      </c>
      <c r="N70" s="24"/>
      <c r="O70" s="24"/>
      <c r="P70" s="24"/>
      <c r="Q70" s="24"/>
      <c r="R70" s="24"/>
      <c r="S70" s="24"/>
      <c r="T70" s="24"/>
      <c r="U70" s="24"/>
      <c r="V70" s="24"/>
      <c r="W70" s="24"/>
      <c r="X70" s="24"/>
    </row>
    <row r="71">
      <c r="B71" s="24" t="b">
        <f>IFERROR(__xludf.DUMMYFUNCTION("""COMPUTED_VALUE"""),FALSE)</f>
        <v>0</v>
      </c>
      <c r="C71" s="18" t="str">
        <f>IFERROR(__xludf.DUMMYFUNCTION("""COMPUTED_VALUE"""),"Booking.com")</f>
        <v>Booking.com</v>
      </c>
      <c r="D71" s="5">
        <f>IFERROR(__xludf.DUMMYFUNCTION("""COMPUTED_VALUE"""),10.0)</f>
        <v>10</v>
      </c>
      <c r="E71" s="19">
        <f>IFERROR(__xludf.DUMMYFUNCTION("""COMPUTED_VALUE"""),46103.0)</f>
        <v>46103</v>
      </c>
      <c r="F71" s="5"/>
      <c r="G71"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71" s="5"/>
      <c r="I71" s="5" t="str">
        <f>IFERROR(__xludf.DUMMYFUNCTION("""COMPUTED_VALUE"""),"")</f>
        <v/>
      </c>
      <c r="J71"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71" s="24" t="str">
        <f>IFERROR(__xludf.DUMMYFUNCTION("""COMPUTED_VALUE"""),"")</f>
        <v/>
      </c>
      <c r="L71" s="24" t="str">
        <f>IFERROR(__xludf.DUMMYFUNCTION("""COMPUTED_VALUE"""),"Celia")</f>
        <v>Celia</v>
      </c>
      <c r="N71" s="24"/>
      <c r="O71" s="24"/>
      <c r="P71" s="24"/>
      <c r="Q71" s="24"/>
      <c r="R71" s="24"/>
      <c r="S71" s="24"/>
      <c r="T71" s="24"/>
      <c r="U71" s="24"/>
      <c r="V71" s="24"/>
      <c r="W71" s="24"/>
      <c r="X71" s="24"/>
    </row>
    <row r="72">
      <c r="B72" s="24" t="b">
        <f>IFERROR(__xludf.DUMMYFUNCTION("""COMPUTED_VALUE"""),FALSE)</f>
        <v>0</v>
      </c>
      <c r="C72" s="24" t="str">
        <f>IFERROR(__xludf.DUMMYFUNCTION("""COMPUTED_VALUE"""),"Google")</f>
        <v>Google</v>
      </c>
      <c r="D72" s="5">
        <f>IFERROR(__xludf.DUMMYFUNCTION("""COMPUTED_VALUE"""),5.0)</f>
        <v>5</v>
      </c>
      <c r="E72" s="19">
        <f>IFERROR(__xludf.DUMMYFUNCTION("""COMPUTED_VALUE"""),46103.0)</f>
        <v>46103</v>
      </c>
      <c r="F72" s="5" t="str">
        <f>IFERROR(__xludf.DUMMYFUNCTION("""COMPUTED_VALUE"""),"駅やショッピングエリアからはまだ少し距離があります。")</f>
        <v>駅やショッピングエリアからはまだ少し距離があります。</v>
      </c>
      <c r="G72" s="24"/>
      <c r="H72" s="5"/>
      <c r="I72" s="5" t="str">
        <f>IFERROR(__xludf.DUMMYFUNCTION("""COMPUTED_VALUE"""),"駅やショッピングエリアからはまだ少し距離があります。")</f>
        <v>駅やショッピングエリアからはまだ少し距離があります。</v>
      </c>
      <c r="J72" s="5" t="str">
        <f>IFERROR(__xludf.DUMMYFUNCTION("""COMPUTED_VALUE"""),"")</f>
        <v/>
      </c>
      <c r="K72" s="24" t="str">
        <f>IFERROR(__xludf.DUMMYFUNCTION("""COMPUTED_VALUE"""),"")</f>
        <v/>
      </c>
      <c r="L72" s="24" t="str">
        <f>IFERROR(__xludf.DUMMYFUNCTION("""COMPUTED_VALUE"""),"Aj KouNaMi")</f>
        <v>Aj KouNaMi</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IFERROR(__xludf.DUMMYFUNCTION("""COMPUTED_VALUE"""),9.0)</f>
        <v>9</v>
      </c>
      <c r="E73" s="19">
        <f>IFERROR(__xludf.DUMMYFUNCTION("""COMPUTED_VALUE"""),46103.0)</f>
        <v>46103</v>
      </c>
      <c r="F73"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73" s="24"/>
      <c r="H73" s="5"/>
      <c r="I73"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73" s="5" t="str">
        <f>IFERROR(__xludf.DUMMYFUNCTION("""COMPUTED_VALUE"""),"")</f>
        <v/>
      </c>
      <c r="K73" s="24" t="str">
        <f>IFERROR(__xludf.DUMMYFUNCTION("""COMPUTED_VALUE"""),"")</f>
        <v/>
      </c>
      <c r="L73" s="24" t="str">
        <f>IFERROR(__xludf.DUMMYFUNCTION("""COMPUTED_VALUE"""),"A‍n‍n‍(‍*‍¯‍︶‍¯‍*‍)")</f>
        <v>A‍n‍n‍(‍*‍¯‍︶‍¯‍*‍)</v>
      </c>
      <c r="N73" s="24"/>
      <c r="O73" s="24"/>
      <c r="P73" s="24"/>
      <c r="Q73" s="24"/>
      <c r="R73" s="24"/>
      <c r="S73" s="24"/>
      <c r="T73" s="24"/>
      <c r="U73" s="24"/>
      <c r="V73" s="24"/>
      <c r="W73" s="24"/>
      <c r="X73" s="24"/>
    </row>
    <row r="74">
      <c r="B74" s="24" t="b">
        <f>IFERROR(__xludf.DUMMYFUNCTION("""COMPUTED_VALUE"""),FALSE)</f>
        <v>0</v>
      </c>
      <c r="C74" s="24" t="str">
        <f>IFERROR(__xludf.DUMMYFUNCTION("""COMPUTED_VALUE"""),"Google")</f>
        <v>Google</v>
      </c>
      <c r="D74" s="5">
        <f>IFERROR(__xludf.DUMMYFUNCTION("""COMPUTED_VALUE"""),5.0)</f>
        <v>5</v>
      </c>
      <c r="E74" s="19">
        <f>IFERROR(__xludf.DUMMYFUNCTION("""COMPUTED_VALUE"""),46103.0)</f>
        <v>46103</v>
      </c>
      <c r="F74" s="5" t="str">
        <f>IFERROR(__xludf.DUMMYFUNCTION("""COMPUTED_VALUE"""),"距離車站還有逛街地點還是有點距離")</f>
        <v>距離車站還有逛街地點還是有點距離</v>
      </c>
      <c r="G74" s="24"/>
      <c r="H74" s="5"/>
      <c r="I74" s="5" t="str">
        <f>IFERROR(__xludf.DUMMYFUNCTION("""COMPUTED_VALUE"""),"駅やショッピングエリアからはまだ少し距離があります。")</f>
        <v>駅やショッピングエリアからはまだ少し距離があります。</v>
      </c>
      <c r="J74" s="5" t="str">
        <f>IFERROR(__xludf.DUMMYFUNCTION("""COMPUTED_VALUE"""),"")</f>
        <v/>
      </c>
      <c r="K74" s="24" t="str">
        <f>IFERROR(__xludf.DUMMYFUNCTION("""COMPUTED_VALUE"""),"")</f>
        <v/>
      </c>
      <c r="L74" s="24" t="str">
        <f>IFERROR(__xludf.DUMMYFUNCTION("""COMPUTED_VALUE"""),"Aj KouNaMi")</f>
        <v>Aj KouNaMi</v>
      </c>
      <c r="N74" s="24"/>
      <c r="O74" s="24"/>
      <c r="P74" s="24"/>
      <c r="Q74" s="24"/>
      <c r="R74" s="24"/>
      <c r="S74" s="24"/>
      <c r="T74" s="24"/>
      <c r="U74" s="24"/>
      <c r="V74" s="24"/>
      <c r="W74" s="24"/>
      <c r="X74" s="24"/>
    </row>
    <row r="75">
      <c r="B75" s="24" t="b">
        <f>IFERROR(__xludf.DUMMYFUNCTION("""COMPUTED_VALUE"""),FALSE)</f>
        <v>0</v>
      </c>
      <c r="C75" s="18" t="str">
        <f>IFERROR(__xludf.DUMMYFUNCTION("""COMPUTED_VALUE"""),"Trip.com")</f>
        <v>Trip.com</v>
      </c>
      <c r="D75" s="5">
        <f>IFERROR(__xludf.DUMMYFUNCTION("""COMPUTED_VALUE"""),9.0)</f>
        <v>9</v>
      </c>
      <c r="E75" s="19">
        <f>IFERROR(__xludf.DUMMYFUNCTION("""COMPUTED_VALUE"""),46102.0)</f>
        <v>46102</v>
      </c>
      <c r="F75"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75" s="24"/>
      <c r="H75" s="5"/>
      <c r="I75"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75" s="5" t="str">
        <f>IFERROR(__xludf.DUMMYFUNCTION("""COMPUTED_VALUE"""),"")</f>
        <v/>
      </c>
      <c r="K75" s="24" t="str">
        <f>IFERROR(__xludf.DUMMYFUNCTION("""COMPUTED_VALUE"""),"")</f>
        <v/>
      </c>
      <c r="L75" s="24" t="str">
        <f>IFERROR(__xludf.DUMMYFUNCTION("""COMPUTED_VALUE"""),"ゲ‍ス‍ト")</f>
        <v>ゲ‍ス‍ト</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IFERROR(__xludf.DUMMYFUNCTION("""COMPUTED_VALUE"""),10.0)</f>
        <v>10</v>
      </c>
      <c r="E76" s="19">
        <f>IFERROR(__xludf.DUMMYFUNCTION("""COMPUTED_VALUE"""),46102.0)</f>
        <v>46102</v>
      </c>
      <c r="F76"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76" s="24"/>
      <c r="H76" s="5"/>
      <c r="I76"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76" s="5" t="str">
        <f>IFERROR(__xludf.DUMMYFUNCTION("""COMPUTED_VALUE"""),"")</f>
        <v/>
      </c>
      <c r="K76" s="24" t="str">
        <f>IFERROR(__xludf.DUMMYFUNCTION("""COMPUTED_VALUE"""),"")</f>
        <v/>
      </c>
      <c r="L76" s="24" t="str">
        <f>IFERROR(__xludf.DUMMYFUNCTION("""COMPUTED_VALUE"""),"ゲ‍ス‍ト")</f>
        <v>ゲ‍ス‍ト</v>
      </c>
      <c r="N76" s="24"/>
      <c r="O76" s="24"/>
      <c r="P76" s="24"/>
      <c r="Q76" s="24"/>
      <c r="R76" s="24"/>
      <c r="S76" s="24"/>
      <c r="T76" s="24"/>
      <c r="U76" s="24"/>
      <c r="V76" s="24"/>
      <c r="W76" s="24"/>
      <c r="X76" s="24"/>
    </row>
    <row r="77">
      <c r="B77" s="24" t="b">
        <f>IFERROR(__xludf.DUMMYFUNCTION("""COMPUTED_VALUE"""),FALSE)</f>
        <v>0</v>
      </c>
      <c r="C77" s="18" t="str">
        <f>IFERROR(__xludf.DUMMYFUNCTION("""COMPUTED_VALUE"""),"Trip.com")</f>
        <v>Trip.com</v>
      </c>
      <c r="D77" s="5">
        <f>IFERROR(__xludf.DUMMYFUNCTION("""COMPUTED_VALUE"""),10.0)</f>
        <v>10</v>
      </c>
      <c r="E77" s="19">
        <f>IFERROR(__xludf.DUMMYFUNCTION("""COMPUTED_VALUE"""),46101.0)</f>
        <v>46101</v>
      </c>
      <c r="F77" s="5" t="str">
        <f>IFERROR(__xludf.DUMMYFUNCTION("""COMPUTED_VALUE"""),"房間大 乾淨 有乾濕分離")</f>
        <v>房間大 乾淨 有乾濕分離</v>
      </c>
      <c r="G77" s="24"/>
      <c r="H77" s="5"/>
      <c r="I77" s="5" t="str">
        <f>IFERROR(__xludf.DUMMYFUNCTION("""COMPUTED_VALUE"""),"部屋は広くて清潔で、濡れた場所と乾いた場所が分かれている。")</f>
        <v>部屋は広くて清潔で、濡れた場所と乾いた場所が分かれている。</v>
      </c>
      <c r="J77" s="5" t="str">
        <f>IFERROR(__xludf.DUMMYFUNCTION("""COMPUTED_VALUE"""),"")</f>
        <v/>
      </c>
      <c r="K77" s="24" t="str">
        <f>IFERROR(__xludf.DUMMYFUNCTION("""COMPUTED_VALUE"""),"")</f>
        <v/>
      </c>
      <c r="L77" s="24" t="str">
        <f>IFERROR(__xludf.DUMMYFUNCTION("""COMPUTED_VALUE"""),"ゲ‍ス‍ト")</f>
        <v>ゲ‍ス‍ト</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IFERROR(__xludf.DUMMYFUNCTION("""COMPUTED_VALUE"""),46101.0)</f>
        <v>46101</v>
      </c>
      <c r="F78" s="5" t="str">
        <f>IFERROR(__xludf.DUMMYFUNCTION("""COMPUTED_VALUE"""),"Perfect location and room size for a family of 4. Highly recommended")</f>
        <v>Perfect location and room size for a family of 4. Highly recommended</v>
      </c>
      <c r="G78" s="24"/>
      <c r="H78" s="5"/>
      <c r="I78" s="5" t="str">
        <f>IFERROR(__xludf.DUMMYFUNCTION("""COMPUTED_VALUE"""),"4人家族に最適な立地と部屋の広さ。非常におすすめです。")</f>
        <v>4人家族に最適な立地と部屋の広さ。非常におすすめです。</v>
      </c>
      <c r="J78" s="5" t="str">
        <f>IFERROR(__xludf.DUMMYFUNCTION("""COMPUTED_VALUE"""),"")</f>
        <v/>
      </c>
      <c r="K78" s="24" t="str">
        <f>IFERROR(__xludf.DUMMYFUNCTION("""COMPUTED_VALUE"""),"")</f>
        <v/>
      </c>
      <c r="L78" s="24" t="str">
        <f>IFERROR(__xludf.DUMMYFUNCTION("""COMPUTED_VALUE"""),"R‍i‍c‍k‍y‍ ‍S‍u‍t‍a‍n‍t‍o")</f>
        <v>R‍i‍c‍k‍y‍ ‍S‍u‍t‍a‍n‍t‍o</v>
      </c>
      <c r="N78" s="24"/>
      <c r="O78" s="24"/>
      <c r="P78" s="24"/>
      <c r="Q78" s="24"/>
      <c r="R78" s="24"/>
      <c r="S78" s="24"/>
      <c r="T78" s="24"/>
      <c r="U78" s="24"/>
      <c r="V78" s="24"/>
      <c r="W78" s="24"/>
      <c r="X78" s="24"/>
    </row>
    <row r="79">
      <c r="B79" s="24" t="b">
        <f>IFERROR(__xludf.DUMMYFUNCTION("""COMPUTED_VALUE"""),FALSE)</f>
        <v>0</v>
      </c>
      <c r="C79" s="24" t="str">
        <f>IFERROR(__xludf.DUMMYFUNCTION("""COMPUTED_VALUE"""),"Google")</f>
        <v>Google</v>
      </c>
      <c r="D79" s="5">
        <f>IFERROR(__xludf.DUMMYFUNCTION("""COMPUTED_VALUE"""),4.0)</f>
        <v>4</v>
      </c>
      <c r="E79" s="19">
        <f>IFERROR(__xludf.DUMMYFUNCTION("""COMPUTED_VALUE"""),46101.0)</f>
        <v>46101</v>
      </c>
      <c r="F79" s="5"/>
      <c r="G79" s="24"/>
      <c r="H79" s="5"/>
      <c r="I79" s="5" t="str">
        <f>IFERROR(__xludf.DUMMYFUNCTION("""COMPUTED_VALUE"""),"")</f>
        <v/>
      </c>
      <c r="J79" s="5" t="str">
        <f>IFERROR(__xludf.DUMMYFUNCTION("""COMPUTED_VALUE"""),"")</f>
        <v/>
      </c>
      <c r="K79" s="24" t="str">
        <f>IFERROR(__xludf.DUMMYFUNCTION("""COMPUTED_VALUE"""),"")</f>
        <v/>
      </c>
      <c r="L79" s="24" t="str">
        <f>IFERROR(__xludf.DUMMYFUNCTION("""COMPUTED_VALUE"""),"印藤泉")</f>
        <v>印藤泉</v>
      </c>
      <c r="N79" s="24"/>
      <c r="O79" s="24"/>
      <c r="P79" s="24"/>
      <c r="Q79" s="24"/>
      <c r="R79" s="24"/>
      <c r="S79" s="24"/>
      <c r="T79" s="24"/>
      <c r="U79" s="24"/>
      <c r="V79" s="24"/>
      <c r="W79" s="24"/>
      <c r="X79" s="24"/>
    </row>
    <row r="80">
      <c r="B80" s="24" t="b">
        <f>IFERROR(__xludf.DUMMYFUNCTION("""COMPUTED_VALUE"""),FALSE)</f>
        <v>0</v>
      </c>
      <c r="C80" s="18" t="str">
        <f>IFERROR(__xludf.DUMMYFUNCTION("""COMPUTED_VALUE"""),"Trip.com")</f>
        <v>Trip.com</v>
      </c>
      <c r="D80" s="5">
        <f>IFERROR(__xludf.DUMMYFUNCTION("""COMPUTED_VALUE"""),10.0)</f>
        <v>10</v>
      </c>
      <c r="E80" s="19">
        <f>IFERROR(__xludf.DUMMYFUNCTION("""COMPUTED_VALUE"""),46101.0)</f>
        <v>46101</v>
      </c>
      <c r="F80"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80" s="24"/>
      <c r="H80" s="5"/>
      <c r="I80"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80" s="5" t="str">
        <f>IFERROR(__xludf.DUMMYFUNCTION("""COMPUTED_VALUE"""),"")</f>
        <v/>
      </c>
      <c r="K80" s="24" t="str">
        <f>IFERROR(__xludf.DUMMYFUNCTION("""COMPUTED_VALUE"""),"")</f>
        <v/>
      </c>
      <c r="L80" s="24" t="str">
        <f>IFERROR(__xludf.DUMMYFUNCTION("""COMPUTED_VALUE"""),"吳‍思‍宏")</f>
        <v>吳‍思‍宏</v>
      </c>
    </row>
    <row r="81">
      <c r="B81" s="24" t="b">
        <f>IFERROR(__xludf.DUMMYFUNCTION("""COMPUTED_VALUE"""),FALSE)</f>
        <v>0</v>
      </c>
      <c r="C81" s="18" t="str">
        <f>IFERROR(__xludf.DUMMYFUNCTION("""COMPUTED_VALUE"""),"Booking.com")</f>
        <v>Booking.com</v>
      </c>
      <c r="D81" s="5">
        <f>IFERROR(__xludf.DUMMYFUNCTION("""COMPUTED_VALUE"""),10.0)</f>
        <v>10</v>
      </c>
      <c r="E81" s="25">
        <f>IFERROR(__xludf.DUMMYFUNCTION("""COMPUTED_VALUE"""),46100.0)</f>
        <v>46100</v>
      </c>
      <c r="F81" s="24"/>
      <c r="G81" s="24" t="str">
        <f>IFERROR(__xludf.DUMMYFUNCTION("""COMPUTED_VALUE"""),"入り口の紅茶が良かった")</f>
        <v>入り口の紅茶が良かった</v>
      </c>
      <c r="H81" s="5"/>
      <c r="I81" s="5" t="str">
        <f>IFERROR(__xludf.DUMMYFUNCTION("""COMPUTED_VALUE"""),"")</f>
        <v/>
      </c>
      <c r="J81" s="5" t="str">
        <f>IFERROR(__xludf.DUMMYFUNCTION("""COMPUTED_VALUE"""),"入り口の紅茶が良かった")</f>
        <v>入り口の紅茶が良かった</v>
      </c>
      <c r="K81" s="24" t="str">
        <f>IFERROR(__xludf.DUMMYFUNCTION("""COMPUTED_VALUE"""),"")</f>
        <v/>
      </c>
      <c r="L81" s="24" t="str">
        <f>IFERROR(__xludf.DUMMYFUNCTION("""COMPUTED_VALUE"""),"Yuko")</f>
        <v>Yuko</v>
      </c>
    </row>
    <row r="82">
      <c r="B82" s="24" t="b">
        <f>IFERROR(__xludf.DUMMYFUNCTION("""COMPUTED_VALUE"""),FALSE)</f>
        <v>0</v>
      </c>
      <c r="C82" s="18" t="str">
        <f>IFERROR(__xludf.DUMMYFUNCTION("""COMPUTED_VALUE"""),"Trip.com")</f>
        <v>Trip.com</v>
      </c>
      <c r="D82" s="5">
        <f>IFERROR(__xludf.DUMMYFUNCTION("""COMPUTED_VALUE"""),10.0)</f>
        <v>10</v>
      </c>
      <c r="E82" s="25">
        <f>IFERROR(__xludf.DUMMYFUNCTION("""COMPUTED_VALUE"""),46100.0)</f>
        <v>46100</v>
      </c>
      <c r="F82" s="24" t="str">
        <f>IFERROR(__xludf.DUMMYFUNCTION("""COMPUTED_VALUE"""),"離地鐵站非常近，樓下化粧品自助，面膜自助非常棒，周邊吃，買都很方便")</f>
        <v>離地鐵站非常近，樓下化粧品自助，面膜自助非常棒，周邊吃，買都很方便</v>
      </c>
      <c r="G82" s="24"/>
      <c r="H82" s="5"/>
      <c r="I82"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82" s="5" t="str">
        <f>IFERROR(__xludf.DUMMYFUNCTION("""COMPUTED_VALUE"""),"")</f>
        <v/>
      </c>
      <c r="K82" s="24" t="str">
        <f>IFERROR(__xludf.DUMMYFUNCTION("""COMPUTED_VALUE"""),"")</f>
        <v/>
      </c>
      <c r="L82" s="24" t="str">
        <f>IFERROR(__xludf.DUMMYFUNCTION("""COMPUTED_VALUE"""),"ゲ‍ス‍ト")</f>
        <v>ゲ‍ス‍ト</v>
      </c>
    </row>
    <row r="83">
      <c r="B83" s="24" t="b">
        <f>IFERROR(__xludf.DUMMYFUNCTION("""COMPUTED_VALUE"""),FALSE)</f>
        <v>0</v>
      </c>
      <c r="C83" s="18" t="str">
        <f>IFERROR(__xludf.DUMMYFUNCTION("""COMPUTED_VALUE"""),"Trip.com")</f>
        <v>Trip.com</v>
      </c>
      <c r="D83" s="5">
        <f>IFERROR(__xludf.DUMMYFUNCTION("""COMPUTED_VALUE"""),9.0)</f>
        <v>9</v>
      </c>
      <c r="E83" s="25">
        <f>IFERROR(__xludf.DUMMYFUNCTION("""COMPUTED_VALUE"""),46099.0)</f>
        <v>46099</v>
      </c>
      <c r="F83"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83" s="24"/>
      <c r="H83" s="5"/>
      <c r="I83"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83" s="5" t="str">
        <f>IFERROR(__xludf.DUMMYFUNCTION("""COMPUTED_VALUE"""),"")</f>
        <v/>
      </c>
      <c r="K83" s="24" t="str">
        <f>IFERROR(__xludf.DUMMYFUNCTION("""COMPUTED_VALUE"""),"")</f>
        <v/>
      </c>
      <c r="L83" s="24" t="str">
        <f>IFERROR(__xludf.DUMMYFUNCTION("""COMPUTED_VALUE"""),"み‍ゆ‍か")</f>
        <v>み‍ゆ‍か</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IFERROR(__xludf.DUMMYFUNCTION("""COMPUTED_VALUE"""),46098.0)</f>
        <v>46098</v>
      </c>
      <c r="F84" s="24" t="str">
        <f>IFERROR(__xludf.DUMMYFUNCTION("""COMPUTED_VALUE"""),"Wir waren sehr zufrieden 😃 Alles 👍. Kann ich nur weiterempfehlen")</f>
        <v>Wir waren sehr zufrieden 😃 Alles 👍. Kann ich nur weiterempfehlen</v>
      </c>
      <c r="G84" s="24"/>
      <c r="H84" s="5"/>
      <c r="I84" s="5" t="str">
        <f>IFERROR(__xludf.DUMMYFUNCTION("""COMPUTED_VALUE"""),"とても満足しました😃 全てが素晴らしかったです👍。ぜひお勧めします。")</f>
        <v>とても満足しました😃 全てが素晴らしかったです👍。ぜひお勧めします。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IFERROR(__xludf.DUMMYFUNCTION("""COMPUTED_VALUE"""),"Booking.com")</f>
        <v>Booking.com</v>
      </c>
      <c r="D85" s="24">
        <f>IFERROR(__xludf.DUMMYFUNCTION("""COMPUTED_VALUE"""),10.0)</f>
        <v>10</v>
      </c>
      <c r="E85" s="25">
        <f>IFERROR(__xludf.DUMMYFUNCTION("""COMPUTED_VALUE"""),46098.0)</f>
        <v>46098</v>
      </c>
      <c r="F85" s="24"/>
      <c r="G85" s="24" t="str">
        <f>IFERROR(__xludf.DUMMYFUNCTION("""COMPUTED_VALUE"""),"Instalaciones cómodas , zona muy tranquila y relativamente cerca de una estación grande.")</f>
        <v>Instalaciones cómodas , zona muy tranquila y relativamente cerca de una estación grande.</v>
      </c>
      <c r="H85" s="5" t="str">
        <f>IFERROR(__xludf.DUMMYFUNCTION("""COMPUTED_VALUE"""),"Todo bien")</f>
        <v>Todo bien</v>
      </c>
      <c r="I85" s="5" t="str">
        <f>IFERROR(__xludf.DUMMYFUNCTION("""COMPUTED_VALUE"""),"")</f>
        <v/>
      </c>
      <c r="J85" s="5" t="str">
        <f>IFERROR(__xludf.DUMMYFUNCTION("""COMPUTED_VALUE"""),"快適な設備、非常に静かなエリア、そして大きな駅からも比較的近い。")</f>
        <v>快適な設備、非常に静かなエリア、そして大きな駅からも比較的近い。</v>
      </c>
      <c r="K85" s="24" t="str">
        <f>IFERROR(__xludf.DUMMYFUNCTION("""COMPUTED_VALUE"""),"すべて順調です")</f>
        <v>すべて順調です</v>
      </c>
      <c r="L85" s="24" t="str">
        <f>IFERROR(__xludf.DUMMYFUNCTION("""COMPUTED_VALUE"""),"Aylin")</f>
        <v>Aylin</v>
      </c>
    </row>
    <row r="86">
      <c r="B86" s="24" t="b">
        <f>IFERROR(__xludf.DUMMYFUNCTION("""COMPUTED_VALUE"""),FALSE)</f>
        <v>0</v>
      </c>
      <c r="C86" s="18" t="str">
        <f>IFERROR(__xludf.DUMMYFUNCTION("""COMPUTED_VALUE"""),"Trip.com")</f>
        <v>Trip.com</v>
      </c>
      <c r="D86" s="24">
        <f>IFERROR(__xludf.DUMMYFUNCTION("""COMPUTED_VALUE"""),10.0)</f>
        <v>10</v>
      </c>
      <c r="E86" s="25">
        <f>IFERROR(__xludf.DUMMYFUNCTION("""COMPUTED_VALUE"""),46098.0)</f>
        <v>46098</v>
      </c>
      <c r="F86"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86" s="24"/>
      <c r="H86" s="5"/>
      <c r="I86"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86" s="5" t="str">
        <f>IFERROR(__xludf.DUMMYFUNCTION("""COMPUTED_VALUE"""),"")</f>
        <v/>
      </c>
      <c r="K86" s="24" t="str">
        <f>IFERROR(__xludf.DUMMYFUNCTION("""COMPUTED_VALUE"""),"")</f>
        <v/>
      </c>
      <c r="L86" s="24" t="str">
        <f>IFERROR(__xludf.DUMMYFUNCTION("""COMPUTED_VALUE"""),"香‍宝‍y‍a")</f>
        <v>香‍宝‍y‍a</v>
      </c>
    </row>
    <row r="87">
      <c r="B87" s="24" t="b">
        <f>IFERROR(__xludf.DUMMYFUNCTION("""COMPUTED_VALUE"""),FALSE)</f>
        <v>0</v>
      </c>
      <c r="C87" s="18" t="str">
        <f>IFERROR(__xludf.DUMMYFUNCTION("""COMPUTED_VALUE"""),"Booking.com")</f>
        <v>Booking.com</v>
      </c>
      <c r="D87" s="24">
        <f>IFERROR(__xludf.DUMMYFUNCTION("""COMPUTED_VALUE"""),8.0)</f>
        <v>8</v>
      </c>
      <c r="E87" s="25">
        <f>IFERROR(__xludf.DUMMYFUNCTION("""COMPUTED_VALUE"""),46098.0)</f>
        <v>46098</v>
      </c>
      <c r="F87" s="24"/>
      <c r="G87" s="24" t="str">
        <f>IFERROR(__xludf.DUMMYFUNCTION("""COMPUTED_VALUE"""),"キレイなホテルでした")</f>
        <v>キレイなホテルでした</v>
      </c>
      <c r="H87" s="5" t="str">
        <f>IFERROR(__xludf.DUMMYFUNCTION("""COMPUTED_VALUE"""),"特にありません。")</f>
        <v>特にありません。</v>
      </c>
      <c r="I87" s="5" t="str">
        <f>IFERROR(__xludf.DUMMYFUNCTION("""COMPUTED_VALUE"""),"")</f>
        <v/>
      </c>
      <c r="J87" s="5" t="str">
        <f>IFERROR(__xludf.DUMMYFUNCTION("""COMPUTED_VALUE"""),"キレイなホテルでした")</f>
        <v>キレイなホテルでした</v>
      </c>
      <c r="K87" s="24" t="str">
        <f>IFERROR(__xludf.DUMMYFUNCTION("""COMPUTED_VALUE"""),"特にありません。")</f>
        <v>特にありません。</v>
      </c>
      <c r="L87" s="24" t="str">
        <f>IFERROR(__xludf.DUMMYFUNCTION("""COMPUTED_VALUE"""),"英一")</f>
        <v>英一</v>
      </c>
    </row>
    <row r="88">
      <c r="B88" s="24" t="b">
        <f>IFERROR(__xludf.DUMMYFUNCTION("""COMPUTED_VALUE"""),FALSE)</f>
        <v>0</v>
      </c>
      <c r="C88" s="18" t="str">
        <f>IFERROR(__xludf.DUMMYFUNCTION("""COMPUTED_VALUE"""),"Booking.com")</f>
        <v>Booking.com</v>
      </c>
      <c r="D88" s="24">
        <f>IFERROR(__xludf.DUMMYFUNCTION("""COMPUTED_VALUE"""),9.0)</f>
        <v>9</v>
      </c>
      <c r="E88" s="25">
        <f>IFERROR(__xludf.DUMMYFUNCTION("""COMPUTED_VALUE"""),46098.0)</f>
        <v>46098</v>
      </c>
      <c r="F88" s="24"/>
      <c r="G88" s="24"/>
      <c r="H88" s="5"/>
      <c r="I88" s="5" t="str">
        <f>IFERROR(__xludf.DUMMYFUNCTION("""COMPUTED_VALUE"""),"")</f>
        <v/>
      </c>
      <c r="J88" s="5" t="str">
        <f>IFERROR(__xludf.DUMMYFUNCTION("""COMPUTED_VALUE"""),"")</f>
        <v/>
      </c>
      <c r="K88" s="24" t="str">
        <f>IFERROR(__xludf.DUMMYFUNCTION("""COMPUTED_VALUE"""),"")</f>
        <v/>
      </c>
      <c r="L88" s="24" t="str">
        <f>IFERROR(__xludf.DUMMYFUNCTION("""COMPUTED_VALUE"""),"Jhang-jie")</f>
        <v>Jhang-jie</v>
      </c>
    </row>
    <row r="89">
      <c r="B89" s="24" t="b">
        <f>IFERROR(__xludf.DUMMYFUNCTION("""COMPUTED_VALUE"""),FALSE)</f>
        <v>0</v>
      </c>
      <c r="C89" s="18" t="str">
        <f>IFERROR(__xludf.DUMMYFUNCTION("""COMPUTED_VALUE"""),"Trip.com")</f>
        <v>Trip.com</v>
      </c>
      <c r="D89" s="24">
        <f>IFERROR(__xludf.DUMMYFUNCTION("""COMPUTED_VALUE"""),10.0)</f>
        <v>10</v>
      </c>
      <c r="E89" s="25">
        <f>IFERROR(__xludf.DUMMYFUNCTION("""COMPUTED_VALUE"""),46098.0)</f>
        <v>46098</v>
      </c>
      <c r="F89"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89" s="24"/>
      <c r="H89" s="24"/>
      <c r="I89"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89" s="5" t="str">
        <f>IFERROR(__xludf.DUMMYFUNCTION("""COMPUTED_VALUE"""),"")</f>
        <v/>
      </c>
      <c r="K89" s="24" t="str">
        <f>IFERROR(__xludf.DUMMYFUNCTION("""COMPUTED_VALUE"""),"")</f>
        <v/>
      </c>
      <c r="L89" s="24" t="str">
        <f>IFERROR(__xludf.DUMMYFUNCTION("""COMPUTED_VALUE"""),"ゲ‍ス‍ト")</f>
        <v>ゲ‍ス‍ト</v>
      </c>
    </row>
    <row r="90">
      <c r="B90" s="24" t="b">
        <f>IFERROR(__xludf.DUMMYFUNCTION("""COMPUTED_VALUE"""),FALSE)</f>
        <v>0</v>
      </c>
      <c r="C90" s="18" t="str">
        <f>IFERROR(__xludf.DUMMYFUNCTION("""COMPUTED_VALUE"""),"Booking.com")</f>
        <v>Booking.com</v>
      </c>
      <c r="D90" s="24">
        <f>IFERROR(__xludf.DUMMYFUNCTION("""COMPUTED_VALUE"""),7.0)</f>
        <v>7</v>
      </c>
      <c r="E90" s="25">
        <f>IFERROR(__xludf.DUMMYFUNCTION("""COMPUTED_VALUE"""),46097.0)</f>
        <v>46097</v>
      </c>
      <c r="F90" s="24"/>
      <c r="G90" s="24"/>
      <c r="H90" s="24" t="str">
        <f>IFERROR(__xludf.DUMMYFUNCTION("""COMPUTED_VALUE"""),"いつも使うので、特別な価格サービスをお願いできればありがたいです。")</f>
        <v>いつも使うので、特別な価格サービスをお願いできればありがたいです。</v>
      </c>
      <c r="I90" s="5" t="str">
        <f>IFERROR(__xludf.DUMMYFUNCTION("""COMPUTED_VALUE"""),"")</f>
        <v/>
      </c>
      <c r="J90" s="5" t="str">
        <f>IFERROR(__xludf.DUMMYFUNCTION("""COMPUTED_VALUE"""),"")</f>
        <v/>
      </c>
      <c r="K90" s="24" t="str">
        <f>IFERROR(__xludf.DUMMYFUNCTION("""COMPUTED_VALUE"""),"いつも使うので、特別な価格サービスをお願いできればありがたいです。")</f>
        <v>いつも使うので、特別な価格サービスをお願いできればありがたいです。</v>
      </c>
      <c r="L90" s="24" t="str">
        <f>IFERROR(__xludf.DUMMYFUNCTION("""COMPUTED_VALUE"""),"吉田")</f>
        <v>吉田</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IFERROR(__xludf.DUMMYFUNCTION("""COMPUTED_VALUE"""),46096.0)</f>
        <v>46096</v>
      </c>
      <c r="F91"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91" s="24"/>
      <c r="H91" s="24"/>
      <c r="I91"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91" s="5" t="str">
        <f>IFERROR(__xludf.DUMMYFUNCTION("""COMPUTED_VALUE"""),"")</f>
        <v/>
      </c>
      <c r="K91" s="24" t="str">
        <f>IFERROR(__xludf.DUMMYFUNCTION("""COMPUTED_VALUE"""),"")</f>
        <v/>
      </c>
      <c r="L91" s="24" t="str">
        <f>IFERROR(__xludf.DUMMYFUNCTION("""COMPUTED_VALUE"""),"ゲ‍ス‍ト")</f>
        <v>ゲ‍ス‍ト</v>
      </c>
    </row>
    <row r="92">
      <c r="B92" s="24" t="b">
        <f>IFERROR(__xludf.DUMMYFUNCTION("""COMPUTED_VALUE"""),FALSE)</f>
        <v>0</v>
      </c>
      <c r="C92" s="18" t="str">
        <f>IFERROR(__xludf.DUMMYFUNCTION("""COMPUTED_VALUE"""),"Booking.com")</f>
        <v>Booking.com</v>
      </c>
      <c r="D92" s="24">
        <f>IFERROR(__xludf.DUMMYFUNCTION("""COMPUTED_VALUE"""),9.0)</f>
        <v>9</v>
      </c>
      <c r="E92" s="25">
        <f>IFERROR(__xludf.DUMMYFUNCTION("""COMPUTED_VALUE"""),46096.0)</f>
        <v>46096</v>
      </c>
      <c r="F92" s="24"/>
      <c r="G92"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92" s="24" t="str">
        <f>IFERROR(__xludf.DUMMYFUNCTION("""COMPUTED_VALUE"""),"Parlano poco inglese.  Poca offerta di cose nella colazione.")</f>
        <v>Parlano poco inglese.  Poca offerta di cose nella colazione.</v>
      </c>
      <c r="I92" s="5" t="str">
        <f>IFERROR(__xludf.DUMMYFUNCTION("""COMPUTED_VALUE"""),"")</f>
        <v/>
      </c>
      <c r="J92"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K92" s="24" t="str">
        <f>IFERROR(__xludf.DUMMYFUNCTION("""COMPUTED_VALUE"""),"彼らは英語をほとんど話しません。朝食の種類は限られています。")</f>
        <v>彼らは英語をほとんど話しません。朝食の種類は限られています。</v>
      </c>
      <c r="L92" s="24" t="str">
        <f>IFERROR(__xludf.DUMMYFUNCTION("""COMPUTED_VALUE"""),"Bruno")</f>
        <v>Bruno</v>
      </c>
    </row>
    <row r="93">
      <c r="B93" s="24" t="b">
        <f>IFERROR(__xludf.DUMMYFUNCTION("""COMPUTED_VALUE"""),FALSE)</f>
        <v>0</v>
      </c>
      <c r="C93" s="18" t="str">
        <f>IFERROR(__xludf.DUMMYFUNCTION("""COMPUTED_VALUE"""),"Booking.com")</f>
        <v>Booking.com</v>
      </c>
      <c r="D93" s="24">
        <f>IFERROR(__xludf.DUMMYFUNCTION("""COMPUTED_VALUE"""),9.0)</f>
        <v>9</v>
      </c>
      <c r="E93" s="25">
        <f>IFERROR(__xludf.DUMMYFUNCTION("""COMPUTED_VALUE"""),46096.0)</f>
        <v>46096</v>
      </c>
      <c r="F93" s="24"/>
      <c r="G93" s="24"/>
      <c r="H93" s="24"/>
      <c r="I93" s="5" t="str">
        <f>IFERROR(__xludf.DUMMYFUNCTION("""COMPUTED_VALUE"""),"")</f>
        <v/>
      </c>
      <c r="J93" s="5" t="str">
        <f>IFERROR(__xludf.DUMMYFUNCTION("""COMPUTED_VALUE"""),"")</f>
        <v/>
      </c>
      <c r="K93" s="24" t="str">
        <f>IFERROR(__xludf.DUMMYFUNCTION("""COMPUTED_VALUE"""),"")</f>
        <v/>
      </c>
      <c r="L93" s="24" t="str">
        <f>IFERROR(__xludf.DUMMYFUNCTION("""COMPUTED_VALUE"""),"Michel")</f>
        <v>Michel</v>
      </c>
    </row>
    <row r="94">
      <c r="B94" s="24" t="b">
        <f>IFERROR(__xludf.DUMMYFUNCTION("""COMPUTED_VALUE"""),FALSE)</f>
        <v>0</v>
      </c>
      <c r="C94" s="18" t="str">
        <f>IFERROR(__xludf.DUMMYFUNCTION("""COMPUTED_VALUE"""),"Booking.com")</f>
        <v>Booking.com</v>
      </c>
      <c r="D94" s="24">
        <f>IFERROR(__xludf.DUMMYFUNCTION("""COMPUTED_VALUE"""),9.0)</f>
        <v>9</v>
      </c>
      <c r="E94" s="25">
        <f>IFERROR(__xludf.DUMMYFUNCTION("""COMPUTED_VALUE"""),46095.0)</f>
        <v>46095</v>
      </c>
      <c r="F94" s="24"/>
      <c r="G94" s="24"/>
      <c r="H94" s="24"/>
      <c r="I94" s="5" t="str">
        <f>IFERROR(__xludf.DUMMYFUNCTION("""COMPUTED_VALUE"""),"")</f>
        <v/>
      </c>
      <c r="J94" s="5" t="str">
        <f>IFERROR(__xludf.DUMMYFUNCTION("""COMPUTED_VALUE"""),"")</f>
        <v/>
      </c>
      <c r="K94" s="24" t="str">
        <f>IFERROR(__xludf.DUMMYFUNCTION("""COMPUTED_VALUE"""),"")</f>
        <v/>
      </c>
      <c r="L94" s="24" t="str">
        <f>IFERROR(__xludf.DUMMYFUNCTION("""COMPUTED_VALUE"""),"佾闈")</f>
        <v>佾闈</v>
      </c>
    </row>
    <row r="95">
      <c r="B95" s="24" t="b">
        <f>IFERROR(__xludf.DUMMYFUNCTION("""COMPUTED_VALUE"""),FALSE)</f>
        <v>0</v>
      </c>
      <c r="C95" s="18" t="str">
        <f>IFERROR(__xludf.DUMMYFUNCTION("""COMPUTED_VALUE"""),"Trip.com")</f>
        <v>Trip.com</v>
      </c>
      <c r="D95" s="24">
        <f>IFERROR(__xludf.DUMMYFUNCTION("""COMPUTED_VALUE"""),10.0)</f>
        <v>10</v>
      </c>
      <c r="E95" s="25">
        <f>IFERROR(__xludf.DUMMYFUNCTION("""COMPUTED_VALUE"""),46094.0)</f>
        <v>46094</v>
      </c>
      <c r="F95"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95" s="24"/>
      <c r="H95" s="24"/>
      <c r="I95"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95" s="5" t="str">
        <f>IFERROR(__xludf.DUMMYFUNCTION("""COMPUTED_VALUE"""),"")</f>
        <v/>
      </c>
      <c r="K95" s="24" t="str">
        <f>IFERROR(__xludf.DUMMYFUNCTION("""COMPUTED_VALUE"""),"")</f>
        <v/>
      </c>
      <c r="L95" s="24" t="str">
        <f>IFERROR(__xludf.DUMMYFUNCTION("""COMPUTED_VALUE"""),"C‍K‍M‍S")</f>
        <v>C‍K‍M‍S</v>
      </c>
    </row>
    <row r="96">
      <c r="B96" s="24" t="b">
        <f>IFERROR(__xludf.DUMMYFUNCTION("""COMPUTED_VALUE"""),FALSE)</f>
        <v>0</v>
      </c>
      <c r="C96" s="18" t="str">
        <f>IFERROR(__xludf.DUMMYFUNCTION("""COMPUTED_VALUE"""),"Booking.com")</f>
        <v>Booking.com</v>
      </c>
      <c r="D96" s="24">
        <f>IFERROR(__xludf.DUMMYFUNCTION("""COMPUTED_VALUE"""),8.0)</f>
        <v>8</v>
      </c>
      <c r="E96" s="25">
        <f>IFERROR(__xludf.DUMMYFUNCTION("""COMPUTED_VALUE"""),46094.0)</f>
        <v>46094</v>
      </c>
      <c r="F96" s="24"/>
      <c r="G96" s="24" t="str">
        <f>IFERROR(__xludf.DUMMYFUNCTION("""COMPUTED_VALUE"""),"住宿地離車站近，工作人員親切")</f>
        <v>住宿地離車站近，工作人員親切</v>
      </c>
      <c r="H96" s="24" t="str">
        <f>IFERROR(__xludf.DUMMYFUNCTION("""COMPUTED_VALUE"""),"房間枕頭有的太扁或太硬，睡不習慣")</f>
        <v>房間枕頭有的太扁或太硬，睡不習慣</v>
      </c>
      <c r="I96" s="5" t="str">
        <f>IFERROR(__xludf.DUMMYFUNCTION("""COMPUTED_VALUE"""),"")</f>
        <v/>
      </c>
      <c r="J96" s="5" t="str">
        <f>IFERROR(__xludf.DUMMYFUNCTION("""COMPUTED_VALUE"""),"宿泊施設は駅に近く、スタッフも親切だった。")</f>
        <v>宿泊施設は駅に近く、スタッフも親切だった。</v>
      </c>
      <c r="K96"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96" s="24" t="str">
        <f>IFERROR(__xludf.DUMMYFUNCTION("""COMPUTED_VALUE"""),"Chehua")</f>
        <v>Chehua</v>
      </c>
    </row>
    <row r="97">
      <c r="B97" s="24" t="b">
        <f>IFERROR(__xludf.DUMMYFUNCTION("""COMPUTED_VALUE"""),FALSE)</f>
        <v>0</v>
      </c>
      <c r="C97" s="18" t="str">
        <f>IFERROR(__xludf.DUMMYFUNCTION("""COMPUTED_VALUE"""),"Booking.com")</f>
        <v>Booking.com</v>
      </c>
      <c r="D97" s="24">
        <f>IFERROR(__xludf.DUMMYFUNCTION("""COMPUTED_VALUE"""),10.0)</f>
        <v>10</v>
      </c>
      <c r="E97" s="25">
        <f>IFERROR(__xludf.DUMMYFUNCTION("""COMPUTED_VALUE"""),46094.0)</f>
        <v>46094</v>
      </c>
      <c r="F97" s="24"/>
      <c r="G97" s="24" t="str">
        <f>IFERROR(__xludf.DUMMYFUNCTION("""COMPUTED_VALUE"""),"location and pricing very good")</f>
        <v>location and pricing very good</v>
      </c>
      <c r="H97" s="24"/>
      <c r="I97" s="5" t="str">
        <f>IFERROR(__xludf.DUMMYFUNCTION("""COMPUTED_VALUE"""),"")</f>
        <v/>
      </c>
      <c r="J97" s="5" t="str">
        <f>IFERROR(__xludf.DUMMYFUNCTION("""COMPUTED_VALUE"""),"立地と価格設定が非常に良い")</f>
        <v>立地と価格設定が非常に良い</v>
      </c>
      <c r="K97" s="24" t="str">
        <f>IFERROR(__xludf.DUMMYFUNCTION("""COMPUTED_VALUE"""),"")</f>
        <v/>
      </c>
      <c r="L97" s="24" t="str">
        <f>IFERROR(__xludf.DUMMYFUNCTION("""COMPUTED_VALUE"""),"Binod")</f>
        <v>Binod</v>
      </c>
    </row>
    <row r="98">
      <c r="B98" s="24" t="b">
        <f>IFERROR(__xludf.DUMMYFUNCTION("""COMPUTED_VALUE"""),FALSE)</f>
        <v>0</v>
      </c>
      <c r="C98" s="18" t="str">
        <f>IFERROR(__xludf.DUMMYFUNCTION("""COMPUTED_VALUE"""),"Trip.com")</f>
        <v>Trip.com</v>
      </c>
      <c r="D98" s="24">
        <f>IFERROR(__xludf.DUMMYFUNCTION("""COMPUTED_VALUE"""),10.0)</f>
        <v>10</v>
      </c>
      <c r="E98" s="25">
        <f>IFERROR(__xludf.DUMMYFUNCTION("""COMPUTED_VALUE"""),46094.0)</f>
        <v>46094</v>
      </c>
      <c r="F98" s="24" t="str">
        <f>IFERROR(__xludf.DUMMYFUNCTION("""COMPUTED_VALUE"""),"房間很大，位置好又鄰近地鐵和jr線，不用擔心轉乘問題，值得推薦住的飯店")</f>
        <v>房間很大，位置好又鄰近地鐵和jr線，不用擔心轉乘問題，值得推薦住的飯店</v>
      </c>
      <c r="G98" s="24"/>
      <c r="H98" s="24"/>
      <c r="I98"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98" s="5" t="str">
        <f>IFERROR(__xludf.DUMMYFUNCTION("""COMPUTED_VALUE"""),"")</f>
        <v/>
      </c>
      <c r="K98" s="24" t="str">
        <f>IFERROR(__xludf.DUMMYFUNCTION("""COMPUTED_VALUE"""),"")</f>
        <v/>
      </c>
      <c r="L98" s="24" t="str">
        <f>IFERROR(__xludf.DUMMYFUNCTION("""COMPUTED_VALUE"""),"ゲ‍ス‍ト")</f>
        <v>ゲ‍ス‍ト</v>
      </c>
    </row>
    <row r="99">
      <c r="B99" s="24" t="b">
        <f>IFERROR(__xludf.DUMMYFUNCTION("""COMPUTED_VALUE"""),FALSE)</f>
        <v>0</v>
      </c>
      <c r="C99" s="24" t="str">
        <f>IFERROR(__xludf.DUMMYFUNCTION("""COMPUTED_VALUE"""),"Google")</f>
        <v>Google</v>
      </c>
      <c r="D99" s="24">
        <f>IFERROR(__xludf.DUMMYFUNCTION("""COMPUTED_VALUE"""),4.0)</f>
        <v>4</v>
      </c>
      <c r="E99" s="25">
        <f>IFERROR(__xludf.DUMMYFUNCTION("""COMPUTED_VALUE"""),46093.0)</f>
        <v>46093</v>
      </c>
      <c r="F99" s="24"/>
      <c r="G99" s="24"/>
      <c r="H99" s="24"/>
      <c r="I99" s="5" t="str">
        <f>IFERROR(__xludf.DUMMYFUNCTION("""COMPUTED_VALUE"""),"")</f>
        <v/>
      </c>
      <c r="J99" s="5" t="str">
        <f>IFERROR(__xludf.DUMMYFUNCTION("""COMPUTED_VALUE"""),"")</f>
        <v/>
      </c>
      <c r="K99" s="24" t="str">
        <f>IFERROR(__xludf.DUMMYFUNCTION("""COMPUTED_VALUE"""),"")</f>
        <v/>
      </c>
      <c r="L99" s="24" t="str">
        <f>IFERROR(__xludf.DUMMYFUNCTION("""COMPUTED_VALUE"""),"siu yuki")</f>
        <v>siu yuki</v>
      </c>
    </row>
    <row r="100">
      <c r="B100" s="24" t="b">
        <f>IFERROR(__xludf.DUMMYFUNCTION("""COMPUTED_VALUE"""),FALSE)</f>
        <v>0</v>
      </c>
      <c r="C100" s="18" t="str">
        <f>IFERROR(__xludf.DUMMYFUNCTION("""COMPUTED_VALUE"""),"Trip.com")</f>
        <v>Trip.com</v>
      </c>
      <c r="D100" s="24">
        <f>IFERROR(__xludf.DUMMYFUNCTION("""COMPUTED_VALUE"""),10.0)</f>
        <v>10</v>
      </c>
      <c r="E100" s="25">
        <f>IFERROR(__xludf.DUMMYFUNCTION("""COMPUTED_VALUE"""),46092.0)</f>
        <v>46092</v>
      </c>
      <c r="F100" s="24" t="str">
        <f>IFERROR(__xludf.DUMMYFUNCTION("""COMPUTED_VALUE"""),"Good location and service, facilities in very good condition. Small room, but with everything you need.")</f>
        <v>Good location and service, facilities in very good condition. Small room, but with everything you need.</v>
      </c>
      <c r="G100" s="24"/>
      <c r="H100" s="24"/>
      <c r="I100"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00" s="5" t="str">
        <f>IFERROR(__xludf.DUMMYFUNCTION("""COMPUTED_VALUE"""),"")</f>
        <v/>
      </c>
      <c r="K100" s="24" t="str">
        <f>IFERROR(__xludf.DUMMYFUNCTION("""COMPUTED_VALUE"""),"")</f>
        <v/>
      </c>
      <c r="L100" s="24" t="str">
        <f>IFERROR(__xludf.DUMMYFUNCTION("""COMPUTED_VALUE"""),"ゲ‍ス‍ト")</f>
        <v>ゲ‍ス‍ト</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IFERROR(__xludf.DUMMYFUNCTION("""COMPUTED_VALUE"""),"Booking.com")</f>
        <v>Booking.com</v>
      </c>
      <c r="D101" s="24">
        <f>IFERROR(__xludf.DUMMYFUNCTION("""COMPUTED_VALUE"""),10.0)</f>
        <v>10</v>
      </c>
      <c r="E101" s="25">
        <f>IFERROR(__xludf.DUMMYFUNCTION("""COMPUTED_VALUE"""),46092.0)</f>
        <v>46092</v>
      </c>
      <c r="F101" s="24"/>
      <c r="G101" s="24"/>
      <c r="H101" s="24"/>
      <c r="I101" s="5" t="str">
        <f>IFERROR(__xludf.DUMMYFUNCTION("""COMPUTED_VALUE"""),"")</f>
        <v/>
      </c>
      <c r="J101" s="5" t="str">
        <f>IFERROR(__xludf.DUMMYFUNCTION("""COMPUTED_VALUE"""),"")</f>
        <v/>
      </c>
      <c r="K101" s="24" t="str">
        <f>IFERROR(__xludf.DUMMYFUNCTION("""COMPUTED_VALUE"""),"")</f>
        <v/>
      </c>
      <c r="L101" s="24" t="str">
        <f>IFERROR(__xludf.DUMMYFUNCTION("""COMPUTED_VALUE"""),"Chien")</f>
        <v>Chien</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IFERROR(__xludf.DUMMYFUNCTION("""COMPUTED_VALUE"""),"Booking.com")</f>
        <v>Booking.com</v>
      </c>
      <c r="D102" s="24">
        <f>IFERROR(__xludf.DUMMYFUNCTION("""COMPUTED_VALUE"""),9.0)</f>
        <v>9</v>
      </c>
      <c r="E102" s="25">
        <f>IFERROR(__xludf.DUMMYFUNCTION("""COMPUTED_VALUE"""),46092.0)</f>
        <v>46092</v>
      </c>
      <c r="F102" s="24"/>
      <c r="G102" s="24" t="str">
        <f>IFERROR(__xludf.DUMMYFUNCTION("""COMPUTED_VALUE"""),"清潔")</f>
        <v>清潔</v>
      </c>
      <c r="H102" s="24" t="str">
        <f>IFERROR(__xludf.DUMMYFUNCTION("""COMPUTED_VALUE"""),"特になし")</f>
        <v>特になし</v>
      </c>
      <c r="I102" s="5" t="str">
        <f>IFERROR(__xludf.DUMMYFUNCTION("""COMPUTED_VALUE"""),"")</f>
        <v/>
      </c>
      <c r="J102" s="5" t="str">
        <f>IFERROR(__xludf.DUMMYFUNCTION("""COMPUTED_VALUE"""),"クリーン")</f>
        <v>クリーン</v>
      </c>
      <c r="K102" s="24" t="str">
        <f>IFERROR(__xludf.DUMMYFUNCTION("""COMPUTED_VALUE"""),"特になし")</f>
        <v>特になし</v>
      </c>
      <c r="L102" s="24" t="str">
        <f>IFERROR(__xludf.DUMMYFUNCTION("""COMPUTED_VALUE"""),"Onodera")</f>
        <v>Onodera</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IFERROR(__xludf.DUMMYFUNCTION("""COMPUTED_VALUE"""),"Trip.com")</f>
        <v>Trip.com</v>
      </c>
      <c r="D103" s="24">
        <f>IFERROR(__xludf.DUMMYFUNCTION("""COMPUTED_VALUE"""),10.0)</f>
        <v>10</v>
      </c>
      <c r="E103" s="25">
        <f>IFERROR(__xludf.DUMMYFUNCTION("""COMPUTED_VALUE"""),46092.0)</f>
        <v>46092</v>
      </c>
      <c r="F103"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03" s="24"/>
      <c r="H103" s="24"/>
      <c r="I103"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03" s="5" t="str">
        <f>IFERROR(__xludf.DUMMYFUNCTION("""COMPUTED_VALUE"""),"")</f>
        <v/>
      </c>
      <c r="K103" s="24" t="str">
        <f>IFERROR(__xludf.DUMMYFUNCTION("""COMPUTED_VALUE"""),"")</f>
        <v/>
      </c>
      <c r="L103" s="24" t="str">
        <f>IFERROR(__xludf.DUMMYFUNCTION("""COMPUTED_VALUE"""),"陸‍零‍柒")</f>
        <v>陸‍零‍柒</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IFERROR(__xludf.DUMMYFUNCTION("""COMPUTED_VALUE"""),"Booking.com")</f>
        <v>Booking.com</v>
      </c>
      <c r="D104" s="24">
        <f>IFERROR(__xludf.DUMMYFUNCTION("""COMPUTED_VALUE"""),7.0)</f>
        <v>7</v>
      </c>
      <c r="E104" s="25">
        <f>IFERROR(__xludf.DUMMYFUNCTION("""COMPUTED_VALUE"""),46091.0)</f>
        <v>46091</v>
      </c>
      <c r="F104" s="24"/>
      <c r="G104" s="24" t="str">
        <f>IFERROR(__xludf.DUMMYFUNCTION("""COMPUTED_VALUE"""),"乾淨整潔 床好睡")</f>
        <v>乾淨整潔 床好睡</v>
      </c>
      <c r="H104"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04" s="5" t="str">
        <f>IFERROR(__xludf.DUMMYFUNCTION("""COMPUTED_VALUE"""),"")</f>
        <v/>
      </c>
      <c r="J104" s="5" t="str">
        <f>IFERROR(__xludf.DUMMYFUNCTION("""COMPUTED_VALUE"""),"清潔で整頓されており、快適なベッドで眠ることができます。")</f>
        <v>清潔で整頓されており、快適なベッドで眠ることができます。</v>
      </c>
      <c r="K104" s="24" t="str">
        <f>IFERROR(__xludf.DUMMYFUNCTION("""COMPUTED_VALUE"""),"チェックイン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04" s="24" t="str">
        <f>IFERROR(__xludf.DUMMYFUNCTION("""COMPUTED_VALUE"""),"Sulien")</f>
        <v>Sulien</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IFERROR(__xludf.DUMMYFUNCTION("""COMPUTED_VALUE"""),"Booking.com")</f>
        <v>Booking.com</v>
      </c>
      <c r="D105" s="24">
        <f>IFERROR(__xludf.DUMMYFUNCTION("""COMPUTED_VALUE"""),7.0)</f>
        <v>7</v>
      </c>
      <c r="E105" s="25">
        <f>IFERROR(__xludf.DUMMYFUNCTION("""COMPUTED_VALUE"""),46091.0)</f>
        <v>46091</v>
      </c>
      <c r="F105" s="24"/>
      <c r="G105" s="24" t="str">
        <f>IFERROR(__xludf.DUMMYFUNCTION("""COMPUTED_VALUE"""),"交通地點很好 房間很舒適 早餐雖然簡單但都很好吃")</f>
        <v>交通地點很好 房間很舒適 早餐雖然簡單但都很好吃</v>
      </c>
      <c r="H105" s="24" t="str">
        <f>IFERROR(__xludf.DUMMYFUNCTION("""COMPUTED_VALUE"""),"沒有")</f>
        <v>沒有</v>
      </c>
      <c r="I105" s="5" t="str">
        <f>IFERROR(__xludf.DUMMYFUNCTION("""COMPUTED_VALUE"""),"")</f>
        <v/>
      </c>
      <c r="J105" s="5" t="str">
        <f>IFERROR(__xludf.DUMMYFUNCTION("""COMPUTED_VALUE"""),"立地は最高で、部屋は快適、朝食はシンプルながらも美味しい。")</f>
        <v>立地は最高で、部屋は快適、朝食はシンプルながらも美味しい。</v>
      </c>
      <c r="K105" s="24" t="str">
        <f>IFERROR(__xludf.DUMMYFUNCTION("""COMPUTED_VALUE"""),"いいえ")</f>
        <v>いいえ</v>
      </c>
      <c r="L105" s="24" t="str">
        <f>IFERROR(__xludf.DUMMYFUNCTION("""COMPUTED_VALUE"""),"Sulien")</f>
        <v>Sulien</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IFERROR(__xludf.DUMMYFUNCTION("""COMPUTED_VALUE"""),"Trip.com")</f>
        <v>Trip.com</v>
      </c>
      <c r="D106" s="24">
        <f>IFERROR(__xludf.DUMMYFUNCTION("""COMPUTED_VALUE"""),10.0)</f>
        <v>10</v>
      </c>
      <c r="E106" s="25">
        <f>IFERROR(__xludf.DUMMYFUNCTION("""COMPUTED_VALUE"""),46091.0)</f>
        <v>46091</v>
      </c>
      <c r="F106"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06" s="24"/>
      <c r="H106" s="24"/>
      <c r="I106"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06" s="5" t="str">
        <f>IFERROR(__xludf.DUMMYFUNCTION("""COMPUTED_VALUE"""),"")</f>
        <v/>
      </c>
      <c r="K106" s="24" t="str">
        <f>IFERROR(__xludf.DUMMYFUNCTION("""COMPUTED_VALUE"""),"")</f>
        <v/>
      </c>
      <c r="L106" s="24" t="str">
        <f>IFERROR(__xludf.DUMMYFUNCTION("""COMPUTED_VALUE"""),"B‍h‍a‍v‍i‍k‍ ‍K‍a‍c‍h‍a‍r‍e")</f>
        <v>B‍h‍a‍v‍i‍k‍ ‍K‍a‍c‍h‍a‍r‍e</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IFERROR(__xludf.DUMMYFUNCTION("""COMPUTED_VALUE"""),"Trip.com")</f>
        <v>Trip.com</v>
      </c>
      <c r="D107" s="24">
        <f>IFERROR(__xludf.DUMMYFUNCTION("""COMPUTED_VALUE"""),10.0)</f>
        <v>10</v>
      </c>
      <c r="E107" s="25">
        <f>IFERROR(__xludf.DUMMYFUNCTION("""COMPUTED_VALUE"""),46090.0)</f>
        <v>46090</v>
      </c>
      <c r="F107"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07" s="24"/>
      <c r="H107" s="24"/>
      <c r="I107"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07" s="5" t="str">
        <f>IFERROR(__xludf.DUMMYFUNCTION("""COMPUTED_VALUE"""),"")</f>
        <v/>
      </c>
      <c r="K107" s="24" t="str">
        <f>IFERROR(__xludf.DUMMYFUNCTION("""COMPUTED_VALUE"""),"")</f>
        <v/>
      </c>
      <c r="L107" s="24" t="str">
        <f>IFERROR(__xludf.DUMMYFUNCTION("""COMPUTED_VALUE"""),"j‍e‍j‍e‍n‍g")</f>
        <v>j‍e‍j‍e‍n‍g</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18" t="str">
        <f>IFERROR(__xludf.DUMMYFUNCTION("""COMPUTED_VALUE"""),"Trip.com")</f>
        <v>Trip.com</v>
      </c>
      <c r="D108" s="24">
        <f>IFERROR(__xludf.DUMMYFUNCTION("""COMPUTED_VALUE"""),10.0)</f>
        <v>10</v>
      </c>
      <c r="E108" s="25">
        <f>IFERROR(__xludf.DUMMYFUNCTION("""COMPUTED_VALUE"""),46090.0)</f>
        <v>46090</v>
      </c>
      <c r="F108" s="24" t="str">
        <f>IFERROR(__xludf.DUMMYFUNCTION("""COMPUTED_VALUE"""),"整體感覺很好")</f>
        <v>整體感覺很好</v>
      </c>
      <c r="G108" s="24"/>
      <c r="H108" s="24"/>
      <c r="I108" s="24" t="str">
        <f>IFERROR(__xludf.DUMMYFUNCTION("""COMPUTED_VALUE"""),"全体的な印象は非常に良い")</f>
        <v>全体的な印象は非常に良い</v>
      </c>
      <c r="J108" s="5" t="str">
        <f>IFERROR(__xludf.DUMMYFUNCTION("""COMPUTED_VALUE"""),"")</f>
        <v/>
      </c>
      <c r="K108" s="24" t="str">
        <f>IFERROR(__xludf.DUMMYFUNCTION("""COMPUTED_VALUE"""),"")</f>
        <v/>
      </c>
      <c r="L108" s="24" t="str">
        <f>IFERROR(__xludf.DUMMYFUNCTION("""COMPUTED_VALUE"""),"ゲ‍ス‍ト")</f>
        <v>ゲ‍ス‍ト</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30"/>
    <hyperlink r:id="rId47" ref="O30"/>
    <hyperlink r:id="rId48" ref="C31"/>
    <hyperlink r:id="rId49" ref="O31"/>
    <hyperlink r:id="rId50" ref="C32"/>
    <hyperlink r:id="rId51" ref="O32"/>
    <hyperlink r:id="rId52" ref="C35"/>
    <hyperlink r:id="rId53" ref="C36"/>
    <hyperlink r:id="rId54" ref="C37"/>
    <hyperlink r:id="rId55" ref="C38"/>
    <hyperlink r:id="rId56" ref="C40"/>
    <hyperlink r:id="rId57" ref="C41"/>
    <hyperlink r:id="rId58" ref="C42"/>
    <hyperlink r:id="rId59" ref="C43"/>
    <hyperlink r:id="rId60" ref="C46"/>
    <hyperlink r:id="rId61" ref="C47"/>
    <hyperlink r:id="rId62" ref="C48"/>
    <hyperlink r:id="rId63" ref="C49"/>
    <hyperlink r:id="rId64" ref="C50"/>
    <hyperlink r:id="rId65" ref="C51"/>
    <hyperlink r:id="rId66" ref="C52"/>
    <hyperlink r:id="rId67" ref="C53"/>
    <hyperlink r:id="rId68" ref="C54"/>
    <hyperlink r:id="rId69" ref="C55"/>
    <hyperlink r:id="rId70" ref="C56"/>
    <hyperlink r:id="rId71" ref="C57"/>
    <hyperlink r:id="rId72" ref="C58"/>
    <hyperlink r:id="rId73" ref="C60"/>
    <hyperlink r:id="rId74" ref="C61"/>
    <hyperlink r:id="rId75" ref="C62"/>
    <hyperlink r:id="rId76" ref="C64"/>
    <hyperlink r:id="rId77" ref="C65"/>
    <hyperlink r:id="rId78" ref="C66"/>
    <hyperlink r:id="rId79" ref="C67"/>
    <hyperlink r:id="rId80" ref="C68"/>
    <hyperlink r:id="rId81" ref="C69"/>
    <hyperlink r:id="rId82" ref="C70"/>
    <hyperlink r:id="rId83" ref="C71"/>
    <hyperlink r:id="rId84" ref="C73"/>
    <hyperlink r:id="rId85" ref="C75"/>
    <hyperlink r:id="rId86" ref="C76"/>
    <hyperlink r:id="rId87" ref="C77"/>
    <hyperlink r:id="rId88" ref="C78"/>
    <hyperlink r:id="rId89" ref="C80"/>
    <hyperlink r:id="rId90" ref="C81"/>
    <hyperlink r:id="rId91" ref="C82"/>
    <hyperlink r:id="rId92" ref="C83"/>
    <hyperlink r:id="rId93" ref="C84"/>
    <hyperlink r:id="rId94" ref="C85"/>
    <hyperlink r:id="rId95" ref="C86"/>
    <hyperlink r:id="rId96" ref="C87"/>
    <hyperlink r:id="rId97" ref="C88"/>
    <hyperlink r:id="rId98" ref="C89"/>
    <hyperlink r:id="rId99" ref="C90"/>
    <hyperlink r:id="rId100" ref="C91"/>
    <hyperlink r:id="rId101" ref="C92"/>
    <hyperlink r:id="rId102" ref="C93"/>
    <hyperlink r:id="rId103" ref="C94"/>
    <hyperlink r:id="rId104" ref="C95"/>
    <hyperlink r:id="rId105" ref="C96"/>
    <hyperlink r:id="rId106" ref="C97"/>
    <hyperlink r:id="rId107" ref="C98"/>
    <hyperlink r:id="rId108" ref="C100"/>
    <hyperlink r:id="rId109" ref="O100"/>
    <hyperlink r:id="rId110" ref="C101"/>
    <hyperlink r:id="rId111" ref="O101"/>
    <hyperlink r:id="rId112" ref="C102"/>
    <hyperlink r:id="rId113" ref="O102"/>
    <hyperlink r:id="rId114" ref="C103"/>
    <hyperlink r:id="rId115" ref="O103"/>
    <hyperlink r:id="rId116" ref="C104"/>
    <hyperlink r:id="rId117" ref="C105"/>
    <hyperlink r:id="rId118" ref="O105"/>
    <hyperlink r:id="rId119" ref="C106"/>
    <hyperlink r:id="rId120" ref="O106"/>
    <hyperlink r:id="rId121" ref="C107"/>
    <hyperlink r:id="rId122" ref="O107"/>
    <hyperlink r:id="rId123" ref="C108"/>
    <hyperlink r:id="rId124" ref="O108"/>
    <hyperlink r:id="rId125" ref="O111"/>
    <hyperlink r:id="rId126" ref="O112"/>
    <hyperlink r:id="rId127" ref="O113"/>
    <hyperlink r:id="rId128" ref="O114"/>
    <hyperlink r:id="rId129" ref="O115"/>
    <hyperlink r:id="rId130" ref="O116"/>
    <hyperlink r:id="rId131" ref="O117"/>
    <hyperlink r:id="rId132" ref="O118"/>
    <hyperlink r:id="rId133" ref="O119"/>
    <hyperlink r:id="rId134" ref="O120"/>
    <hyperlink r:id="rId135" ref="O121"/>
    <hyperlink r:id="rId136" ref="O122"/>
    <hyperlink r:id="rId137" ref="O123"/>
    <hyperlink r:id="rId138" ref="O125"/>
    <hyperlink r:id="rId139" ref="O126"/>
    <hyperlink r:id="rId140" ref="O127"/>
    <hyperlink r:id="rId141" ref="O129"/>
    <hyperlink r:id="rId142" ref="O130"/>
    <hyperlink r:id="rId143" ref="O131"/>
    <hyperlink r:id="rId144" ref="O132"/>
    <hyperlink r:id="rId145" ref="O133"/>
    <hyperlink r:id="rId146" ref="O134"/>
    <hyperlink r:id="rId147" ref="O135"/>
    <hyperlink r:id="rId148" ref="O136"/>
    <hyperlink r:id="rId149" ref="O138"/>
    <hyperlink r:id="rId150" ref="O140"/>
    <hyperlink r:id="rId151" ref="O141"/>
    <hyperlink r:id="rId152" ref="O142"/>
    <hyperlink r:id="rId153" ref="O143"/>
    <hyperlink r:id="rId154" ref="O145"/>
    <hyperlink r:id="rId155" ref="O146"/>
    <hyperlink r:id="rId156" ref="O147"/>
    <hyperlink r:id="rId157" ref="O148"/>
    <hyperlink r:id="rId158" ref="O149"/>
    <hyperlink r:id="rId159" ref="O150"/>
    <hyperlink r:id="rId160" ref="O151"/>
    <hyperlink r:id="rId161" ref="O152"/>
    <hyperlink r:id="rId162" ref="O153"/>
    <hyperlink r:id="rId163" ref="O154"/>
    <hyperlink r:id="rId164" ref="O155"/>
    <hyperlink r:id="rId165" ref="O156"/>
    <hyperlink r:id="rId166" ref="O157"/>
    <hyperlink r:id="rId167" ref="O158"/>
    <hyperlink r:id="rId168" ref="O159"/>
    <hyperlink r:id="rId169" ref="O160"/>
    <hyperlink r:id="rId170" ref="O161"/>
    <hyperlink r:id="rId171" ref="O162"/>
    <hyperlink r:id="rId172" ref="O163"/>
    <hyperlink r:id="rId173" ref="O165"/>
    <hyperlink r:id="rId174" ref="O166"/>
    <hyperlink r:id="rId175" ref="O167"/>
    <hyperlink r:id="rId176" ref="O168"/>
    <hyperlink r:id="rId177" ref="O169"/>
    <hyperlink r:id="rId178" ref="O170"/>
    <hyperlink r:id="rId179" ref="O171"/>
    <hyperlink r:id="rId180" ref="O172"/>
    <hyperlink r:id="rId181" ref="O173"/>
  </hyperlinks>
  <printOptions gridLines="1" horizontalCentered="1"/>
  <pageMargins bottom="0.75" footer="0.0" header="0.0" left="0.7" right="0.7" top="0.75"/>
  <pageSetup fitToHeight="0" paperSize="9" cellComments="atEnd" orientation="landscape" pageOrder="overThenDown"/>
  <drawing r:id="rId18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0</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0</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1601</v>
      </c>
      <c r="W12" s="77"/>
      <c r="X12" s="87">
        <f t="shared" si="10"/>
        <v>0</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54</v>
      </c>
      <c r="K5" s="212">
        <v>13.0</v>
      </c>
      <c r="L5" s="214" t="s">
        <v>82</v>
      </c>
      <c r="M5" s="210" t="s">
        <v>34</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46123.0</v>
      </c>
      <c r="C8" s="295">
        <v>95.0</v>
      </c>
      <c r="D8" s="295">
        <v>68.0</v>
      </c>
      <c r="E8" s="296">
        <f>C8*$D$3</f>
        <v>30.495</v>
      </c>
      <c r="F8" s="296">
        <f>(C8-E8)*$H$3</f>
        <v>49.41083</v>
      </c>
      <c r="G8" s="296">
        <f>D8+E8+F8</f>
        <v>147.90583</v>
      </c>
      <c r="H8" s="296">
        <f>D8+E8+(F8/4)</f>
        <v>110.8477075</v>
      </c>
      <c r="I8" s="297"/>
      <c r="J8" s="298">
        <f>H8/($D$5+($D$6/4))</f>
        <v>8.210941296</v>
      </c>
      <c r="K8" s="299">
        <f>ROUNDUP(J8,0)</f>
        <v>9</v>
      </c>
      <c r="L8" s="223"/>
      <c r="M8" s="223"/>
      <c r="N8" s="223"/>
      <c r="O8" s="223"/>
      <c r="P8" s="223"/>
      <c r="Q8" s="223"/>
      <c r="R8" s="223"/>
      <c r="S8" s="223"/>
      <c r="T8" s="223"/>
      <c r="U8" s="223"/>
      <c r="V8" s="223"/>
      <c r="W8" s="223"/>
      <c r="X8" s="223"/>
      <c r="Y8" s="223"/>
      <c r="Z8" s="223"/>
      <c r="AA8" s="223"/>
    </row>
    <row r="9">
      <c r="B9" s="300" t="s">
        <v>262</v>
      </c>
      <c r="C9" s="301" t="s">
        <v>263</v>
      </c>
      <c r="D9" s="301"/>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1753305</v>
      </c>
      <c r="D1" s="305">
        <f>AZ20</f>
        <v>250681.8182</v>
      </c>
      <c r="E1" s="305">
        <f>BG23</f>
        <v>951375.8333</v>
      </c>
      <c r="F1" s="305">
        <f>BB23+BG40</f>
        <v>60000</v>
      </c>
      <c r="G1" s="305">
        <f t="shared" ref="G1:H1" si="1">I8</f>
        <v>37956.02273</v>
      </c>
      <c r="H1" s="305">
        <f t="shared" si="1"/>
        <v>30875</v>
      </c>
      <c r="I1" s="306">
        <f>G8</f>
        <v>0.8811428571</v>
      </c>
      <c r="J1" s="306">
        <f>AT7</f>
        <v>0</v>
      </c>
      <c r="K1" s="307">
        <f>AV44</f>
        <v>0</v>
      </c>
      <c r="L1" s="308">
        <f>F44</f>
        <v>1601</v>
      </c>
      <c r="M1" s="309" t="str">
        <f>if(C7&lt;C8,"達成","未達成")</f>
        <v>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0.2695687853</v>
      </c>
      <c r="D7" s="77"/>
      <c r="E7" s="346">
        <f>AU12</f>
        <v>0.5406361975</v>
      </c>
      <c r="F7" s="77"/>
      <c r="G7" s="347" t="s">
        <v>286</v>
      </c>
      <c r="H7" s="348">
        <f t="array" ref="H7">xlookup($D$5,'🌟目標数値'!$A$3:$A$14,'🌟目標数値'!E$3:E14)</f>
        <v>4650112.5</v>
      </c>
      <c r="I7" s="348" t="s">
        <v>286</v>
      </c>
      <c r="J7" s="349" t="s">
        <v>286</v>
      </c>
      <c r="K7" s="350" t="s">
        <v>286</v>
      </c>
      <c r="L7" s="350" t="s">
        <v>286</v>
      </c>
      <c r="M7" s="351">
        <f t="array" ref="M7">xlookup($D$5,'🌟目標数値'!$A$3:$A$14,'🌟目標数値'!F$3:F14)</f>
        <v>1253525.178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0.2927564376</v>
      </c>
      <c r="D8" s="77"/>
      <c r="E8" s="358">
        <f>(BB23+BG23-BE24)/H8</f>
        <v>0.5426185594</v>
      </c>
      <c r="F8" s="77"/>
      <c r="G8" s="359">
        <f>G47</f>
        <v>0.8811428571</v>
      </c>
      <c r="H8" s="360">
        <f>BB30</f>
        <v>1753305</v>
      </c>
      <c r="I8" s="361">
        <f>IFERROR(__xludf.DUMMYFUNCTION("IMPORTRANGE(""https://docs.google.com/spreadsheets/d/1QbHfX9wvC_RRupa4CCe_ZxA6O4e2Ap9vqX5hrZPeQRg/edit"",""date2_1!Q17"")/G5*COUNTIFS($E$13:$E$43,""&gt;0"")"),37956.02272727273)</f>
        <v>37956.02273</v>
      </c>
      <c r="J8" s="362">
        <f>IFERROR(__xludf.DUMMYFUNCTION("IMPORTRANGE(""https://docs.google.com/spreadsheets/d/1PIAlDmsTatDNi42y_Nu-aVFqvVCXfe6jiDJFQImKjZ0/edit#gid=630612029"",""R8_3!J17"")"),30875.0)</f>
        <v>30875</v>
      </c>
      <c r="K8" s="363">
        <f>BE24</f>
        <v>0</v>
      </c>
      <c r="L8" s="363">
        <f>BB30-BB23-AZ20-BG45-BG23+BE24</f>
        <v>551247.3485</v>
      </c>
      <c r="M8" s="364">
        <f>L8-I8</f>
        <v>513291.3258</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1550037.5</v>
      </c>
      <c r="I9" s="374" t="s">
        <v>286</v>
      </c>
      <c r="J9" s="375" t="s">
        <v>286</v>
      </c>
      <c r="K9" s="376" t="s">
        <v>286</v>
      </c>
      <c r="L9" s="376" t="s">
        <v>286</v>
      </c>
      <c r="M9" s="377">
        <f>M7/G5*COUNTIFS($E$11:$E$41,"&gt;0")</f>
        <v>417841.7261</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0.5406361975</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IFERROR(__xludf.DUMMYFUNCTION("FLATTEN('⚙️抽出用'!B5:AF5)"),74147.66666666667)</f>
        <v>74147.66667</v>
      </c>
      <c r="AU13" s="409">
        <f t="shared" ref="AU13:AU43" si="7">if(E13="","",iferror((AT13+AR13+$BF$23/if(month($D$5)=month(today()),day(today()),$G$5))/(AS13+(sum($BA$31:$BA$32)/$G$5)),""))</f>
        <v>0.5846461289</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IFERROR(__xludf.DUMMYFUNCTION("""COMPUTED_VALUE"""),79809.0)</f>
        <v>79809</v>
      </c>
      <c r="AU14" s="409">
        <f t="shared" si="7"/>
        <v>0.6254870804</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IFERROR(__xludf.DUMMYFUNCTION("""COMPUTED_VALUE"""),89574.5)</f>
        <v>89574.5</v>
      </c>
      <c r="AU15" s="409">
        <f t="shared" si="7"/>
        <v>0.5245540561</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0.6096697574</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0.6222333682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IFERROR(__xludf.DUMMYFUNCTION("""COMPUTED_VALUE"""),97011.5)</f>
        <v>97011.5</v>
      </c>
      <c r="AU18" s="409">
        <f t="shared" si="7"/>
        <v>0.6218765295</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IFERROR(__xludf.DUMMYFUNCTION("""COMPUTED_VALUE"""),79240.5)</f>
        <v>79240.5</v>
      </c>
      <c r="AU19" s="409">
        <f t="shared" si="7"/>
        <v>0.5770545005</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IFERROR(__xludf.DUMMYFUNCTION("""COMPUTED_VALUE"""),98597.33333333333)</f>
        <v>98597.33333</v>
      </c>
      <c r="AU20" s="409">
        <f t="shared" si="7"/>
        <v>0.6344871619</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IFERROR(__xludf.DUMMYFUNCTION("IMPORTRANGE(""https://docs.google.com/spreadsheets/d/1QbHfX9wvC_RRupa4CCe_ZxA6O4e2Ap9vqX5hrZPeQRg/edit?gid=284905409#gid=284905409"",""date2_1!C17"")/G5*COUNTIFS($E$13:$E$43,""&gt;0"")+sum(AZ14:BA19)"),250681.8181818182)</f>
        <v>250681.8182</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IFERROR(__xludf.DUMMYFUNCTION("""COMPUTED_VALUE"""),89549.83333333333)</f>
        <v>89549.83333</v>
      </c>
      <c r="AU21" s="409">
        <f t="shared" si="7"/>
        <v>0.6134026147</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IFERROR(__xludf.DUMMYFUNCTION("""COMPUTED_VALUE"""),82581.5)</f>
        <v>82581.5</v>
      </c>
      <c r="AU22" s="409">
        <f t="shared" si="7"/>
        <v>0.6192824148</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ref="E23:E43" si="11">if(H23="","",175)</f>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IFERROR(__xludf.DUMMYFUNCTION("IMPORTRANGE(AT9,""total!ai2"")"),889807.8333333334)</f>
        <v>889807.8333</v>
      </c>
      <c r="BF23" s="445">
        <f>IFERROR(__xludf.DUMMYFUNCTION("IMPORTRANGE(AT9,""total!an2"")"),61568.0)</f>
        <v>61568</v>
      </c>
      <c r="BG23" s="443">
        <f>sum(BE23:BF27)+BE20</f>
        <v>951375.8333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11"/>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11"/>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11"/>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11"/>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1"/>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1"/>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1"/>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1475605</v>
      </c>
      <c r="BA30" s="456" t="s">
        <v>286</v>
      </c>
      <c r="BB30" s="443">
        <f>SUM(AZ30:AZ36)</f>
        <v>1753305</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1"/>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60" t="s">
        <v>339</v>
      </c>
      <c r="AY31" s="461" t="s">
        <v>363</v>
      </c>
      <c r="AZ31" s="445">
        <f t="shared" ref="AZ31:AZ32" si="12">BA31/$G$5*COUNTIFS($E$13:$E$43,"&gt;0")</f>
        <v>60800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1"/>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60" t="s">
        <v>339</v>
      </c>
      <c r="AY32" s="461" t="s">
        <v>365</v>
      </c>
      <c r="AZ32" s="445">
        <f t="shared" si="12"/>
        <v>33333.33333</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1"/>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60" t="s">
        <v>339</v>
      </c>
      <c r="AY33" s="461" t="s">
        <v>367</v>
      </c>
      <c r="AZ33" s="462">
        <v>105000.0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1"/>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369</v>
      </c>
      <c r="AZ34" s="426">
        <f>BA34/$G$5*COUNTIFS($E$13:$E$43,"&gt;0")</f>
        <v>5066.666667</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1"/>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1"/>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370</v>
      </c>
      <c r="AZ36" s="423">
        <f>BB40</f>
        <v>73500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1"/>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1"/>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1"/>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1"/>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339</v>
      </c>
      <c r="AY40" s="471" t="s">
        <v>367</v>
      </c>
      <c r="AZ40" s="462" t="s">
        <v>376</v>
      </c>
      <c r="BA40" s="472" t="s">
        <v>377</v>
      </c>
      <c r="BB40" s="443">
        <f>SUM(AZ40:AZ45)</f>
        <v>73500</v>
      </c>
      <c r="BC40" s="315"/>
      <c r="BD40" s="473" t="s">
        <v>365</v>
      </c>
      <c r="BE40" s="474">
        <v>60000.0</v>
      </c>
      <c r="BF40" s="472"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1"/>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339</v>
      </c>
      <c r="AY41" s="471" t="s">
        <v>379</v>
      </c>
      <c r="AZ41" s="462">
        <v>73500.0</v>
      </c>
      <c r="BA41" s="472" t="s">
        <v>380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1"/>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1"/>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1750</v>
      </c>
      <c r="F44" s="481">
        <f t="shared" ref="F44:AB44" si="14">SUM(F13:F43)</f>
        <v>1601</v>
      </c>
      <c r="G44" s="481">
        <f t="shared" si="14"/>
        <v>1542</v>
      </c>
      <c r="H44" s="481">
        <f t="shared" si="14"/>
        <v>669</v>
      </c>
      <c r="I44" s="481">
        <f t="shared" si="14"/>
        <v>74</v>
      </c>
      <c r="J44" s="481">
        <f t="shared" si="14"/>
        <v>213</v>
      </c>
      <c r="K44" s="481">
        <f t="shared" si="14"/>
        <v>586</v>
      </c>
      <c r="L44" s="481">
        <f t="shared" si="14"/>
        <v>59</v>
      </c>
      <c r="M44" s="481">
        <f t="shared" si="14"/>
        <v>38</v>
      </c>
      <c r="N44" s="481">
        <f t="shared" si="14"/>
        <v>513</v>
      </c>
      <c r="O44" s="481">
        <f t="shared" si="14"/>
        <v>90</v>
      </c>
      <c r="P44" s="481">
        <f t="shared" si="14"/>
        <v>9</v>
      </c>
      <c r="Q44" s="481">
        <f t="shared" si="14"/>
        <v>4</v>
      </c>
      <c r="R44" s="481">
        <f t="shared" si="14"/>
        <v>24</v>
      </c>
      <c r="S44" s="481">
        <f t="shared" si="14"/>
        <v>0</v>
      </c>
      <c r="T44" s="481">
        <f t="shared" si="14"/>
        <v>10</v>
      </c>
      <c r="U44" s="481">
        <f t="shared" si="14"/>
        <v>11</v>
      </c>
      <c r="V44" s="481">
        <f t="shared" si="14"/>
        <v>3</v>
      </c>
      <c r="W44" s="481">
        <f t="shared" si="14"/>
        <v>0</v>
      </c>
      <c r="X44" s="481">
        <f t="shared" si="14"/>
        <v>0</v>
      </c>
      <c r="Y44" s="481">
        <f t="shared" si="14"/>
        <v>0</v>
      </c>
      <c r="Z44" s="481">
        <f t="shared" si="14"/>
        <v>0</v>
      </c>
      <c r="AA44" s="481">
        <f t="shared" si="14"/>
        <v>0</v>
      </c>
      <c r="AB44" s="481">
        <f t="shared" si="14"/>
        <v>0</v>
      </c>
      <c r="AC44" s="482"/>
      <c r="AD44" s="482"/>
      <c r="AE44" s="482"/>
      <c r="AF44" s="482"/>
      <c r="AG44" s="482"/>
      <c r="AH44" s="482"/>
      <c r="AI44" s="482"/>
      <c r="AJ44" s="482"/>
      <c r="AK44" s="482"/>
      <c r="AL44" s="482"/>
      <c r="AM44" s="482"/>
      <c r="AN44" s="482"/>
      <c r="AO44" s="482"/>
      <c r="AP44" s="482"/>
      <c r="AQ44" s="482"/>
      <c r="AR44" s="483">
        <f t="shared" ref="AR44:AT44" si="15">sum(AR13:AR43)</f>
        <v>0</v>
      </c>
      <c r="AS44" s="484">
        <f t="shared" si="15"/>
        <v>1475605</v>
      </c>
      <c r="AT44" s="484">
        <f t="shared" si="15"/>
        <v>889807.8333</v>
      </c>
      <c r="AU44" s="485">
        <f>AVERAGE(AU13:AU43)</f>
        <v>0.6032693612</v>
      </c>
      <c r="AV44" s="481">
        <f t="shared" ref="AV44:AW44" si="16">sum(AV13:AV43)</f>
        <v>0</v>
      </c>
      <c r="AW44" s="486">
        <f t="shared" si="16"/>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7">G44*G45</f>
        <v>0</v>
      </c>
      <c r="H46" s="506">
        <f t="shared" si="17"/>
        <v>712485</v>
      </c>
      <c r="I46" s="506">
        <f t="shared" si="17"/>
        <v>88060</v>
      </c>
      <c r="J46" s="506">
        <f t="shared" si="17"/>
        <v>285420</v>
      </c>
      <c r="K46" s="506">
        <f t="shared" si="17"/>
        <v>175800</v>
      </c>
      <c r="L46" s="506">
        <f t="shared" si="17"/>
        <v>5900</v>
      </c>
      <c r="M46" s="506">
        <f t="shared" si="17"/>
        <v>3800</v>
      </c>
      <c r="N46" s="506">
        <f t="shared" si="17"/>
        <v>51300</v>
      </c>
      <c r="O46" s="506">
        <f t="shared" si="17"/>
        <v>22500</v>
      </c>
      <c r="P46" s="506">
        <f t="shared" si="17"/>
        <v>2250</v>
      </c>
      <c r="Q46" s="506">
        <f t="shared" si="17"/>
        <v>400</v>
      </c>
      <c r="R46" s="506">
        <f t="shared" si="17"/>
        <v>3600</v>
      </c>
      <c r="S46" s="506">
        <f t="shared" si="17"/>
        <v>0</v>
      </c>
      <c r="T46" s="506">
        <f t="shared" si="17"/>
        <v>1500</v>
      </c>
      <c r="U46" s="506">
        <f t="shared" si="17"/>
        <v>121000</v>
      </c>
      <c r="V46" s="506">
        <f t="shared" si="17"/>
        <v>1590</v>
      </c>
      <c r="W46" s="408">
        <f t="shared" si="17"/>
        <v>0</v>
      </c>
      <c r="X46" s="408">
        <f t="shared" si="17"/>
        <v>0</v>
      </c>
      <c r="Y46" s="408">
        <f t="shared" si="17"/>
        <v>0</v>
      </c>
      <c r="Z46" s="408">
        <f t="shared" si="17"/>
        <v>0</v>
      </c>
      <c r="AA46" s="408">
        <f t="shared" si="17"/>
        <v>0</v>
      </c>
      <c r="AB46" s="408">
        <f t="shared" si="17"/>
        <v>0</v>
      </c>
      <c r="AC46" s="407">
        <f t="shared" si="17"/>
        <v>0</v>
      </c>
      <c r="AD46" s="407">
        <f t="shared" si="17"/>
        <v>0</v>
      </c>
      <c r="AE46" s="407">
        <f t="shared" si="17"/>
        <v>0</v>
      </c>
      <c r="AF46" s="407">
        <f t="shared" si="17"/>
        <v>0</v>
      </c>
      <c r="AG46" s="407">
        <f t="shared" si="17"/>
        <v>0</v>
      </c>
      <c r="AH46" s="407">
        <f t="shared" si="17"/>
        <v>0</v>
      </c>
      <c r="AI46" s="407">
        <f t="shared" si="17"/>
        <v>0</v>
      </c>
      <c r="AJ46" s="498"/>
      <c r="AK46" s="498"/>
      <c r="AL46" s="498"/>
      <c r="AM46" s="498"/>
      <c r="AN46" s="498"/>
      <c r="AO46" s="498"/>
      <c r="AP46" s="498"/>
      <c r="AQ46" s="498"/>
      <c r="AR46" s="498"/>
      <c r="AS46" s="507">
        <f>sum(G46:AB46)</f>
        <v>1475605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8">G44/$E$44</f>
        <v>0.8811428571</v>
      </c>
      <c r="H47" s="513">
        <f t="shared" si="18"/>
        <v>0.3822857143</v>
      </c>
      <c r="I47" s="513">
        <f t="shared" si="18"/>
        <v>0.04228571429</v>
      </c>
      <c r="J47" s="513">
        <f t="shared" si="18"/>
        <v>0.1217142857</v>
      </c>
      <c r="K47" s="513">
        <f t="shared" si="18"/>
        <v>0.3348571429</v>
      </c>
      <c r="L47" s="513">
        <f t="shared" si="18"/>
        <v>0.03371428571</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385</v>
      </c>
      <c r="O2" s="534"/>
      <c r="P2" s="535"/>
      <c r="Q2" s="536"/>
      <c r="R2" s="536"/>
      <c r="S2" s="537"/>
      <c r="T2" s="536"/>
      <c r="U2" s="536"/>
      <c r="V2" s="536"/>
      <c r="W2" s="536"/>
      <c r="X2" s="536"/>
      <c r="Y2" s="538"/>
      <c r="Z2" s="281"/>
      <c r="AA2" s="281"/>
      <c r="AB2" s="281"/>
      <c r="AC2" s="281"/>
      <c r="AD2" s="281"/>
      <c r="AE2" s="281"/>
      <c r="AF2" s="539"/>
      <c r="AG2" s="540"/>
      <c r="AH2" s="541"/>
      <c r="AI2" s="542" t="s">
        <v>386</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407</v>
      </c>
      <c r="AU4" s="584" t="s">
        <v>213</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408</v>
      </c>
      <c r="BK4" s="250"/>
      <c r="BL4" s="564">
        <v>46143.0</v>
      </c>
      <c r="BT4" s="526"/>
      <c r="BU4" s="526"/>
      <c r="BV4" s="526"/>
      <c r="BW4" s="526"/>
      <c r="BX4" s="526"/>
    </row>
    <row r="5" ht="24.75" customHeight="1">
      <c r="A5" s="529"/>
      <c r="B5" s="589" t="s">
        <v>409</v>
      </c>
      <c r="C5" s="590"/>
      <c r="D5" s="529"/>
      <c r="E5" s="591" t="s">
        <v>410</v>
      </c>
      <c r="F5" s="590"/>
      <c r="G5" s="529"/>
      <c r="H5" s="529"/>
      <c r="I5" s="592" t="b">
        <v>0</v>
      </c>
      <c r="J5" s="3"/>
      <c r="K5" s="593" t="s">
        <v>132</v>
      </c>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424</v>
      </c>
      <c r="AU5" s="584" t="s">
        <v>216</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46123</v>
      </c>
      <c r="C7" s="614"/>
      <c r="D7" s="529"/>
      <c r="E7" s="615">
        <f>today()+1</f>
        <v>46124</v>
      </c>
      <c r="F7" s="616"/>
      <c r="G7" s="529"/>
      <c r="H7" s="529"/>
      <c r="I7" s="617" t="s">
        <v>425</v>
      </c>
      <c r="J7" s="618" t="s">
        <v>426</v>
      </c>
      <c r="K7" s="619">
        <v>46113.0</v>
      </c>
      <c r="L7" s="620" t="s">
        <v>427</v>
      </c>
      <c r="M7" s="621" t="s">
        <v>428</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土</v>
      </c>
      <c r="D8" s="119"/>
      <c r="E8" s="630" t="s">
        <v>292</v>
      </c>
      <c r="F8" s="631" t="str">
        <f>TEXT(E7,"ddd")</f>
        <v>日</v>
      </c>
      <c r="G8" s="200"/>
      <c r="H8" s="200"/>
      <c r="I8" s="617"/>
      <c r="J8" s="632" t="s">
        <v>436</v>
      </c>
      <c r="K8" s="620" t="s">
        <v>437</v>
      </c>
      <c r="L8" s="633" t="s">
        <v>438</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12</v>
      </c>
      <c r="D9" s="200"/>
      <c r="E9" s="636" t="str">
        <f t="shared" ref="E9:E104" si="5">K9</f>
        <v>出勤者数合計</v>
      </c>
      <c r="F9" s="637">
        <f t="shared" ref="F9:F103" si="6">if(E9="","", xlookup($E$7,$N$7:$AR$7,$N9:$AR9))</f>
        <v>12</v>
      </c>
      <c r="G9" s="200"/>
      <c r="H9" s="200"/>
      <c r="I9" s="172" t="b">
        <v>0</v>
      </c>
      <c r="J9" s="632"/>
      <c r="K9" s="638" t="s">
        <v>439</v>
      </c>
      <c r="L9" s="639" t="s">
        <v>135</v>
      </c>
      <c r="M9" s="640" t="s">
        <v>440</v>
      </c>
      <c r="N9" s="641">
        <f t="array" ref="N9">SUM(COUNTIF(N11:N104, {"◎","〇","☆","共","特","浴"}))</f>
        <v>15</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16</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14</v>
      </c>
      <c r="AB9" s="641">
        <f t="array" ref="AB9">SUM(COUNTIF(AB11:AB104, {"◎","〇","☆","共","特","浴"}))</f>
        <v>14</v>
      </c>
      <c r="AC9" s="641">
        <f t="array" ref="AC9">SUM(COUNTIF(AC11:AC104, {"◎","〇","☆","共","特","浴"}))</f>
        <v>13</v>
      </c>
      <c r="AD9" s="641">
        <f t="array" ref="AD9">SUM(COUNTIF(AD11:AD104, {"◎","〇","☆","共","特","浴"}))</f>
        <v>15</v>
      </c>
      <c r="AE9" s="641">
        <f t="array" ref="AE9">SUM(COUNTIF(AE11:AE104, {"◎","〇","☆","共","特","浴"}))</f>
        <v>11</v>
      </c>
      <c r="AF9" s="641">
        <f t="array" ref="AF9">SUM(COUNTIF(AF11:AF104, {"◎","〇","☆","共","特","浴"}))</f>
        <v>12</v>
      </c>
      <c r="AG9" s="641">
        <f t="array" ref="AG9">SUM(COUNTIF(AG11:AG104, {"◎","〇","☆","共","特","浴"}))</f>
        <v>15</v>
      </c>
      <c r="AH9" s="641">
        <f t="array" ref="AH9">SUM(COUNTIF(AH11:AH104, {"◎","〇","☆","共","特","浴"}))</f>
        <v>16</v>
      </c>
      <c r="AI9" s="641">
        <f t="array" ref="AI9">SUM(COUNTIF(AI11:AI104, {"◎","〇","☆","共","特","浴"}))</f>
        <v>15</v>
      </c>
      <c r="AJ9" s="641">
        <f t="array" ref="AJ9">SUM(COUNTIF(AJ11:AJ104, {"◎","〇","☆","共","特","浴"}))</f>
        <v>13</v>
      </c>
      <c r="AK9" s="641">
        <f t="array" ref="AK9">SUM(COUNTIF(AK11:AK104, {"◎","〇","☆","共","特","浴"}))</f>
        <v>15</v>
      </c>
      <c r="AL9" s="641">
        <f t="array" ref="AL9">SUM(COUNTIF(AL11:AL104, {"◎","〇","☆","共","特","浴"}))</f>
        <v>10</v>
      </c>
      <c r="AM9" s="641">
        <f t="array" ref="AM9">SUM(COUNTIF(AM11:AM104, {"◎","〇","☆","共","特","浴"}))</f>
        <v>11</v>
      </c>
      <c r="AN9" s="641">
        <f t="array" ref="AN9">SUM(COUNTIF(AN11:AN104, {"◎","〇","☆","共","特","浴"}))</f>
        <v>15</v>
      </c>
      <c r="AO9" s="641">
        <f t="array" ref="AO9">SUM(COUNTIF(AO11:AO104, {"◎","〇","☆","共","特","浴"}))</f>
        <v>14</v>
      </c>
      <c r="AP9" s="641">
        <f t="array" ref="AP9">SUM(COUNTIF(AP11:AP104, {"◎","〇","☆","共","特","浴"}))</f>
        <v>14</v>
      </c>
      <c r="AQ9" s="641">
        <f t="array" ref="AQ9">SUM(COUNTIF(AQ11:AQ104, {"◎","〇","☆","共","特","浴"}))</f>
        <v>13</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5</v>
      </c>
      <c r="D10" s="200"/>
      <c r="E10" s="636" t="str">
        <f t="shared" si="5"/>
        <v>チェッカー数</v>
      </c>
      <c r="F10" s="637">
        <f t="shared" si="6"/>
        <v>4</v>
      </c>
      <c r="G10" s="200"/>
      <c r="H10" s="200"/>
      <c r="I10" s="172" t="b">
        <v>0</v>
      </c>
      <c r="J10" s="632"/>
      <c r="K10" s="638" t="s">
        <v>441</v>
      </c>
      <c r="L10" s="639" t="s">
        <v>135</v>
      </c>
      <c r="M10" s="640" t="s">
        <v>442</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v>
      </c>
      <c r="D11" s="200"/>
      <c r="E11" s="636" t="str">
        <f t="shared" si="5"/>
        <v>梅川</v>
      </c>
      <c r="F11" s="637" t="str">
        <f t="shared" si="6"/>
        <v>◎</v>
      </c>
      <c r="G11" s="200"/>
      <c r="H11" s="200"/>
      <c r="I11" s="172" t="b">
        <v>0</v>
      </c>
      <c r="J11" s="618"/>
      <c r="K11" s="638" t="s">
        <v>132</v>
      </c>
      <c r="L11" s="639" t="s">
        <v>443</v>
      </c>
      <c r="M11" s="645"/>
      <c r="N11" s="646" t="s">
        <v>396</v>
      </c>
      <c r="O11" s="646" t="s">
        <v>420</v>
      </c>
      <c r="P11" s="646" t="s">
        <v>396</v>
      </c>
      <c r="Q11" s="646" t="s">
        <v>396</v>
      </c>
      <c r="R11" s="646" t="s">
        <v>396</v>
      </c>
      <c r="S11" s="646" t="s">
        <v>412</v>
      </c>
      <c r="T11" s="646" t="s">
        <v>396</v>
      </c>
      <c r="U11" s="646" t="s">
        <v>396</v>
      </c>
      <c r="V11" s="646" t="s">
        <v>396</v>
      </c>
      <c r="W11" s="646" t="s">
        <v>412</v>
      </c>
      <c r="X11" s="646" t="s">
        <v>396</v>
      </c>
      <c r="Y11" s="646" t="s">
        <v>396</v>
      </c>
      <c r="Z11" s="646" t="s">
        <v>412</v>
      </c>
      <c r="AA11" s="646" t="s">
        <v>396</v>
      </c>
      <c r="AB11" s="646" t="s">
        <v>396</v>
      </c>
      <c r="AC11" s="646" t="s">
        <v>396</v>
      </c>
      <c r="AD11" s="646" t="s">
        <v>420</v>
      </c>
      <c r="AE11" s="646" t="s">
        <v>396</v>
      </c>
      <c r="AF11" s="646" t="s">
        <v>396</v>
      </c>
      <c r="AG11" s="646" t="s">
        <v>420</v>
      </c>
      <c r="AH11" s="646" t="s">
        <v>396</v>
      </c>
      <c r="AI11" s="646" t="s">
        <v>396</v>
      </c>
      <c r="AJ11" s="646" t="s">
        <v>396</v>
      </c>
      <c r="AK11" s="646" t="s">
        <v>396</v>
      </c>
      <c r="AL11" s="646" t="s">
        <v>412</v>
      </c>
      <c r="AM11" s="646" t="s">
        <v>396</v>
      </c>
      <c r="AN11" s="646" t="s">
        <v>396</v>
      </c>
      <c r="AO11" s="646" t="s">
        <v>396</v>
      </c>
      <c r="AP11" s="646" t="s">
        <v>412</v>
      </c>
      <c r="AQ11" s="646" t="s">
        <v>412</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v>
      </c>
      <c r="D12" s="200"/>
      <c r="E12" s="636" t="str">
        <f t="shared" si="5"/>
        <v>メイ</v>
      </c>
      <c r="F12" s="637" t="str">
        <f t="shared" si="6"/>
        <v>☆</v>
      </c>
      <c r="G12" s="200"/>
      <c r="H12" s="200"/>
      <c r="I12" s="172" t="b">
        <v>0</v>
      </c>
      <c r="J12" s="618"/>
      <c r="K12" s="638" t="s">
        <v>142</v>
      </c>
      <c r="L12" s="639" t="s">
        <v>444</v>
      </c>
      <c r="M12" s="645"/>
      <c r="N12" s="646" t="s">
        <v>420</v>
      </c>
      <c r="O12" s="646" t="s">
        <v>398</v>
      </c>
      <c r="P12" s="646" t="s">
        <v>398</v>
      </c>
      <c r="Q12" s="646" t="s">
        <v>398</v>
      </c>
      <c r="R12" s="646" t="s">
        <v>412</v>
      </c>
      <c r="S12" s="646" t="s">
        <v>398</v>
      </c>
      <c r="T12" s="646" t="s">
        <v>398</v>
      </c>
      <c r="U12" s="646" t="s">
        <v>412</v>
      </c>
      <c r="V12" s="646" t="s">
        <v>420</v>
      </c>
      <c r="W12" s="646" t="s">
        <v>398</v>
      </c>
      <c r="X12" s="646" t="s">
        <v>398</v>
      </c>
      <c r="Y12" s="646" t="s">
        <v>398</v>
      </c>
      <c r="Z12" s="646" t="s">
        <v>398</v>
      </c>
      <c r="AA12" s="646" t="s">
        <v>414</v>
      </c>
      <c r="AB12" s="646" t="s">
        <v>412</v>
      </c>
      <c r="AC12" s="646" t="s">
        <v>412</v>
      </c>
      <c r="AD12" s="646" t="s">
        <v>398</v>
      </c>
      <c r="AE12" s="646" t="s">
        <v>398</v>
      </c>
      <c r="AF12" s="646" t="s">
        <v>398</v>
      </c>
      <c r="AG12" s="646" t="s">
        <v>398</v>
      </c>
      <c r="AH12" s="646" t="s">
        <v>412</v>
      </c>
      <c r="AI12" s="646" t="s">
        <v>412</v>
      </c>
      <c r="AJ12" s="646" t="s">
        <v>398</v>
      </c>
      <c r="AK12" s="646" t="s">
        <v>398</v>
      </c>
      <c r="AL12" s="646" t="s">
        <v>398</v>
      </c>
      <c r="AM12" s="646" t="s">
        <v>398</v>
      </c>
      <c r="AN12" s="646" t="s">
        <v>398</v>
      </c>
      <c r="AO12" s="646" t="s">
        <v>412</v>
      </c>
      <c r="AP12" s="646" t="s">
        <v>398</v>
      </c>
      <c r="AQ12" s="646" t="s">
        <v>398</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公</v>
      </c>
      <c r="D13" s="200"/>
      <c r="E13" s="636" t="str">
        <f t="shared" si="5"/>
        <v>ビマル</v>
      </c>
      <c r="F13" s="637" t="str">
        <f t="shared" si="6"/>
        <v>成</v>
      </c>
      <c r="G13" s="200"/>
      <c r="H13" s="200"/>
      <c r="I13" s="172" t="b">
        <v>0</v>
      </c>
      <c r="J13" s="618"/>
      <c r="K13" s="638" t="s">
        <v>119</v>
      </c>
      <c r="L13" s="639" t="s">
        <v>443</v>
      </c>
      <c r="M13" s="645"/>
      <c r="N13" s="646" t="s">
        <v>396</v>
      </c>
      <c r="O13" s="646" t="s">
        <v>445</v>
      </c>
      <c r="P13" s="646" t="s">
        <v>445</v>
      </c>
      <c r="Q13" s="646" t="s">
        <v>412</v>
      </c>
      <c r="R13" s="646" t="s">
        <v>445</v>
      </c>
      <c r="S13" s="646" t="s">
        <v>412</v>
      </c>
      <c r="T13" s="646" t="s">
        <v>396</v>
      </c>
      <c r="U13" s="646" t="s">
        <v>412</v>
      </c>
      <c r="V13" s="646" t="s">
        <v>445</v>
      </c>
      <c r="W13" s="646" t="s">
        <v>396</v>
      </c>
      <c r="X13" s="646" t="s">
        <v>412</v>
      </c>
      <c r="Y13" s="646" t="s">
        <v>445</v>
      </c>
      <c r="Z13" s="646" t="s">
        <v>445</v>
      </c>
      <c r="AA13" s="646" t="s">
        <v>396</v>
      </c>
      <c r="AB13" s="646" t="s">
        <v>412</v>
      </c>
      <c r="AC13" s="646" t="s">
        <v>445</v>
      </c>
      <c r="AD13" s="646" t="s">
        <v>396</v>
      </c>
      <c r="AE13" s="646" t="s">
        <v>412</v>
      </c>
      <c r="AF13" s="646" t="s">
        <v>445</v>
      </c>
      <c r="AG13" s="646" t="s">
        <v>445</v>
      </c>
      <c r="AH13" s="646" t="s">
        <v>396</v>
      </c>
      <c r="AI13" s="646" t="s">
        <v>445</v>
      </c>
      <c r="AJ13" s="646" t="s">
        <v>445</v>
      </c>
      <c r="AK13" s="646" t="s">
        <v>396</v>
      </c>
      <c r="AL13" s="646" t="s">
        <v>412</v>
      </c>
      <c r="AM13" s="646" t="s">
        <v>445</v>
      </c>
      <c r="AN13" s="646" t="s">
        <v>445</v>
      </c>
      <c r="AO13" s="646" t="s">
        <v>414</v>
      </c>
      <c r="AP13" s="646" t="s">
        <v>412</v>
      </c>
      <c r="AQ13" s="646" t="s">
        <v>445</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
      </c>
      <c r="D14" s="200"/>
      <c r="E14" s="636" t="str">
        <f t="shared" si="5"/>
        <v>サウド</v>
      </c>
      <c r="F14" s="637" t="str">
        <f t="shared" si="6"/>
        <v/>
      </c>
      <c r="G14" s="200"/>
      <c r="H14" s="200"/>
      <c r="I14" s="172" t="b">
        <v>0</v>
      </c>
      <c r="J14" s="618"/>
      <c r="K14" s="638" t="s">
        <v>446</v>
      </c>
      <c r="L14" s="639" t="s">
        <v>444</v>
      </c>
      <c r="M14" s="645"/>
      <c r="N14" s="646" t="s">
        <v>447</v>
      </c>
      <c r="O14" s="646"/>
      <c r="P14" s="646"/>
      <c r="Q14" s="646"/>
      <c r="R14" s="646"/>
      <c r="S14" s="646" t="s">
        <v>447</v>
      </c>
      <c r="T14" s="646" t="s">
        <v>192</v>
      </c>
      <c r="U14" s="646"/>
      <c r="V14" s="646"/>
      <c r="W14" s="646" t="s">
        <v>192</v>
      </c>
      <c r="X14" s="646"/>
      <c r="Y14" s="646"/>
      <c r="Z14" s="646" t="s">
        <v>447</v>
      </c>
      <c r="AA14" s="646" t="s">
        <v>192</v>
      </c>
      <c r="AB14" s="646"/>
      <c r="AC14" s="646"/>
      <c r="AD14" s="646" t="s">
        <v>192</v>
      </c>
      <c r="AE14" s="646"/>
      <c r="AF14" s="646"/>
      <c r="AG14" s="646" t="s">
        <v>447</v>
      </c>
      <c r="AH14" s="646" t="s">
        <v>192</v>
      </c>
      <c r="AI14" s="646"/>
      <c r="AJ14" s="646"/>
      <c r="AK14" s="646" t="s">
        <v>192</v>
      </c>
      <c r="AL14" s="646"/>
      <c r="AM14" s="646"/>
      <c r="AN14" s="646"/>
      <c r="AO14" s="646" t="s">
        <v>192</v>
      </c>
      <c r="AP14" s="646"/>
      <c r="AQ14" s="646"/>
      <c r="AR14" s="641"/>
      <c r="AS14" s="647">
        <f t="array" ref="AS14">SUM(COUNTIF(N14:AR14, {"◎","〇","☆","共","特","浴"}))</f>
        <v>7</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鈴木</v>
      </c>
      <c r="C15" s="637" t="str">
        <f t="shared" si="4"/>
        <v/>
      </c>
      <c r="D15" s="200"/>
      <c r="E15" s="636" t="str">
        <f t="shared" si="5"/>
        <v>鈴木</v>
      </c>
      <c r="F15" s="637" t="str">
        <f t="shared" si="6"/>
        <v/>
      </c>
      <c r="G15" s="200"/>
      <c r="H15" s="200"/>
      <c r="I15" s="172" t="b">
        <v>0</v>
      </c>
      <c r="J15" s="618"/>
      <c r="K15" s="638" t="s">
        <v>448</v>
      </c>
      <c r="L15" s="639" t="s">
        <v>449</v>
      </c>
      <c r="M15" s="645"/>
      <c r="N15" s="646" t="s">
        <v>405</v>
      </c>
      <c r="O15" s="646"/>
      <c r="P15" s="646"/>
      <c r="Q15" s="646"/>
      <c r="R15" s="646"/>
      <c r="S15" s="646"/>
      <c r="T15" s="646" t="s">
        <v>405</v>
      </c>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2</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公</v>
      </c>
      <c r="D17" s="200"/>
      <c r="E17" s="636" t="str">
        <f t="shared" si="5"/>
        <v>宇佐見</v>
      </c>
      <c r="F17" s="637" t="str">
        <f t="shared" si="6"/>
        <v>公</v>
      </c>
      <c r="G17" s="200"/>
      <c r="H17" s="200"/>
      <c r="I17" s="172" t="b">
        <v>0</v>
      </c>
      <c r="J17" s="618"/>
      <c r="K17" s="638" t="s">
        <v>450</v>
      </c>
      <c r="L17" s="639" t="s">
        <v>451</v>
      </c>
      <c r="M17" s="645"/>
      <c r="N17" s="646" t="s">
        <v>420</v>
      </c>
      <c r="O17" s="646" t="s">
        <v>420</v>
      </c>
      <c r="P17" s="646" t="s">
        <v>420</v>
      </c>
      <c r="Q17" s="646" t="s">
        <v>412</v>
      </c>
      <c r="R17" s="646" t="s">
        <v>412</v>
      </c>
      <c r="S17" s="646" t="s">
        <v>412</v>
      </c>
      <c r="T17" s="646" t="s">
        <v>398</v>
      </c>
      <c r="U17" s="646" t="s">
        <v>398</v>
      </c>
      <c r="V17" s="646" t="s">
        <v>412</v>
      </c>
      <c r="W17" s="646" t="s">
        <v>398</v>
      </c>
      <c r="X17" s="646" t="s">
        <v>412</v>
      </c>
      <c r="Y17" s="646" t="s">
        <v>412</v>
      </c>
      <c r="Z17" s="646" t="s">
        <v>398</v>
      </c>
      <c r="AA17" s="646" t="s">
        <v>398</v>
      </c>
      <c r="AB17" s="646" t="s">
        <v>412</v>
      </c>
      <c r="AC17" s="646" t="s">
        <v>412</v>
      </c>
      <c r="AD17" s="646" t="s">
        <v>398</v>
      </c>
      <c r="AE17" s="646" t="s">
        <v>412</v>
      </c>
      <c r="AF17" s="646" t="s">
        <v>412</v>
      </c>
      <c r="AG17" s="646" t="s">
        <v>420</v>
      </c>
      <c r="AH17" s="646" t="s">
        <v>398</v>
      </c>
      <c r="AI17" s="646" t="s">
        <v>398</v>
      </c>
      <c r="AJ17" s="646" t="s">
        <v>412</v>
      </c>
      <c r="AK17" s="646" t="s">
        <v>398</v>
      </c>
      <c r="AL17" s="646" t="s">
        <v>412</v>
      </c>
      <c r="AM17" s="646" t="s">
        <v>412</v>
      </c>
      <c r="AN17" s="646" t="s">
        <v>412</v>
      </c>
      <c r="AO17" s="646" t="s">
        <v>398</v>
      </c>
      <c r="AP17" s="646" t="s">
        <v>412</v>
      </c>
      <c r="AQ17" s="646" t="s">
        <v>398</v>
      </c>
      <c r="AR17" s="641"/>
      <c r="AS17" s="647">
        <f t="array" ref="AS17">SUM(COUNTIF(N17:AR17, {"◎","〇","☆","共","特","浴"}))</f>
        <v>11</v>
      </c>
      <c r="AT17" s="651"/>
      <c r="AU17" s="649"/>
      <c r="AV17" s="649"/>
      <c r="AW17" s="649"/>
      <c r="AX17" s="649"/>
      <c r="AY17" s="649"/>
      <c r="AZ17" s="649"/>
      <c r="BA17" s="649"/>
      <c r="BB17" s="652" t="s">
        <v>452</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公</v>
      </c>
      <c r="D18" s="200"/>
      <c r="E18" s="636" t="str">
        <f t="shared" si="5"/>
        <v>小田原</v>
      </c>
      <c r="F18" s="637" t="str">
        <f t="shared" si="6"/>
        <v>公</v>
      </c>
      <c r="G18" s="200"/>
      <c r="H18" s="200"/>
      <c r="I18" s="172" t="b">
        <v>0</v>
      </c>
      <c r="J18" s="618"/>
      <c r="K18" s="638" t="s">
        <v>453</v>
      </c>
      <c r="L18" s="639" t="s">
        <v>451</v>
      </c>
      <c r="M18" s="645"/>
      <c r="N18" s="646" t="s">
        <v>412</v>
      </c>
      <c r="O18" s="646" t="s">
        <v>398</v>
      </c>
      <c r="P18" s="646" t="s">
        <v>412</v>
      </c>
      <c r="Q18" s="646" t="s">
        <v>412</v>
      </c>
      <c r="R18" s="646" t="s">
        <v>412</v>
      </c>
      <c r="S18" s="646" t="s">
        <v>398</v>
      </c>
      <c r="T18" s="646" t="s">
        <v>398</v>
      </c>
      <c r="U18" s="646" t="s">
        <v>412</v>
      </c>
      <c r="V18" s="646" t="s">
        <v>398</v>
      </c>
      <c r="W18" s="646" t="s">
        <v>412</v>
      </c>
      <c r="X18" s="646" t="s">
        <v>412</v>
      </c>
      <c r="Y18" s="646" t="s">
        <v>412</v>
      </c>
      <c r="Z18" s="646" t="s">
        <v>420</v>
      </c>
      <c r="AA18" s="646" t="s">
        <v>398</v>
      </c>
      <c r="AB18" s="646" t="s">
        <v>412</v>
      </c>
      <c r="AC18" s="646" t="s">
        <v>398</v>
      </c>
      <c r="AD18" s="646" t="s">
        <v>412</v>
      </c>
      <c r="AE18" s="646" t="s">
        <v>412</v>
      </c>
      <c r="AF18" s="646" t="s">
        <v>412</v>
      </c>
      <c r="AG18" s="646" t="s">
        <v>398</v>
      </c>
      <c r="AH18" s="646" t="s">
        <v>398</v>
      </c>
      <c r="AI18" s="646" t="s">
        <v>412</v>
      </c>
      <c r="AJ18" s="646" t="s">
        <v>398</v>
      </c>
      <c r="AK18" s="646" t="s">
        <v>412</v>
      </c>
      <c r="AL18" s="646" t="s">
        <v>412</v>
      </c>
      <c r="AM18" s="646" t="s">
        <v>412</v>
      </c>
      <c r="AN18" s="646" t="s">
        <v>398</v>
      </c>
      <c r="AO18" s="646" t="s">
        <v>398</v>
      </c>
      <c r="AP18" s="646" t="s">
        <v>412</v>
      </c>
      <c r="AQ18" s="646" t="s">
        <v>398</v>
      </c>
      <c r="AR18" s="641"/>
      <c r="AS18" s="647">
        <f t="array" ref="AS18">SUM(COUNTIF(N18:AR18, {"◎","〇","☆","共","特","浴"}))</f>
        <v>12</v>
      </c>
      <c r="AT18" s="648"/>
      <c r="AU18" s="649"/>
      <c r="AV18" s="649"/>
      <c r="AW18" s="649"/>
      <c r="AX18" s="649"/>
      <c r="AY18" s="649"/>
      <c r="AZ18" s="649"/>
      <c r="BA18" s="649"/>
      <c r="BB18" s="652" t="s">
        <v>452</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公</v>
      </c>
      <c r="D19" s="200"/>
      <c r="E19" s="636" t="str">
        <f t="shared" si="5"/>
        <v>佐藤</v>
      </c>
      <c r="F19" s="637" t="str">
        <f t="shared" si="6"/>
        <v>公</v>
      </c>
      <c r="G19" s="200"/>
      <c r="H19" s="200"/>
      <c r="I19" s="172" t="b">
        <v>0</v>
      </c>
      <c r="J19" s="618"/>
      <c r="K19" s="638" t="s">
        <v>171</v>
      </c>
      <c r="L19" s="639" t="s">
        <v>451</v>
      </c>
      <c r="M19" s="645"/>
      <c r="N19" s="646" t="s">
        <v>398</v>
      </c>
      <c r="O19" s="646" t="s">
        <v>420</v>
      </c>
      <c r="P19" s="646" t="s">
        <v>398</v>
      </c>
      <c r="Q19" s="646" t="s">
        <v>412</v>
      </c>
      <c r="R19" s="646" t="s">
        <v>412</v>
      </c>
      <c r="S19" s="646" t="s">
        <v>420</v>
      </c>
      <c r="T19" s="646" t="s">
        <v>412</v>
      </c>
      <c r="U19" s="646" t="s">
        <v>398</v>
      </c>
      <c r="V19" s="646" t="s">
        <v>398</v>
      </c>
      <c r="W19" s="646" t="s">
        <v>398</v>
      </c>
      <c r="X19" s="646" t="s">
        <v>412</v>
      </c>
      <c r="Y19" s="646" t="s">
        <v>412</v>
      </c>
      <c r="Z19" s="646" t="s">
        <v>412</v>
      </c>
      <c r="AA19" s="646" t="s">
        <v>412</v>
      </c>
      <c r="AB19" s="646" t="s">
        <v>398</v>
      </c>
      <c r="AC19" s="646" t="s">
        <v>398</v>
      </c>
      <c r="AD19" s="646" t="s">
        <v>398</v>
      </c>
      <c r="AE19" s="646" t="s">
        <v>412</v>
      </c>
      <c r="AF19" s="646" t="s">
        <v>412</v>
      </c>
      <c r="AG19" s="646" t="s">
        <v>412</v>
      </c>
      <c r="AH19" s="646" t="s">
        <v>398</v>
      </c>
      <c r="AI19" s="646" t="s">
        <v>398</v>
      </c>
      <c r="AJ19" s="646" t="s">
        <v>412</v>
      </c>
      <c r="AK19" s="646" t="s">
        <v>412</v>
      </c>
      <c r="AL19" s="646" t="s">
        <v>412</v>
      </c>
      <c r="AM19" s="646" t="s">
        <v>412</v>
      </c>
      <c r="AN19" s="646" t="s">
        <v>412</v>
      </c>
      <c r="AO19" s="646" t="s">
        <v>398</v>
      </c>
      <c r="AP19" s="646" t="s">
        <v>398</v>
      </c>
      <c r="AQ19" s="646" t="s">
        <v>420</v>
      </c>
      <c r="AR19" s="641"/>
      <c r="AS19" s="647">
        <f t="array" ref="AS19">SUM(COUNTIF(N19:AR19, {"◎","〇","☆","共","特","浴"}))</f>
        <v>12</v>
      </c>
      <c r="AT19" s="651"/>
      <c r="AU19" s="649"/>
      <c r="AV19" s="649"/>
      <c r="AW19" s="649"/>
      <c r="AX19" s="649"/>
      <c r="AY19" s="649"/>
      <c r="AZ19" s="649"/>
      <c r="BA19" s="649"/>
      <c r="BB19" s="652" t="s">
        <v>452</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v>
      </c>
      <c r="D20" s="200"/>
      <c r="E20" s="636" t="str">
        <f t="shared" si="5"/>
        <v>カン</v>
      </c>
      <c r="F20" s="637" t="str">
        <f t="shared" si="6"/>
        <v>☆</v>
      </c>
      <c r="G20" s="200"/>
      <c r="H20" s="200"/>
      <c r="I20" s="172" t="b">
        <v>0</v>
      </c>
      <c r="J20" s="618"/>
      <c r="K20" s="638" t="s">
        <v>454</v>
      </c>
      <c r="L20" s="639" t="s">
        <v>451</v>
      </c>
      <c r="M20" s="645"/>
      <c r="N20" s="646" t="s">
        <v>412</v>
      </c>
      <c r="O20" s="646" t="s">
        <v>398</v>
      </c>
      <c r="P20" s="646" t="s">
        <v>412</v>
      </c>
      <c r="Q20" s="646" t="s">
        <v>398</v>
      </c>
      <c r="R20" s="646" t="s">
        <v>398</v>
      </c>
      <c r="S20" s="646" t="s">
        <v>398</v>
      </c>
      <c r="T20" s="646" t="s">
        <v>412</v>
      </c>
      <c r="U20" s="646" t="s">
        <v>412</v>
      </c>
      <c r="V20" s="646" t="s">
        <v>398</v>
      </c>
      <c r="W20" s="646" t="s">
        <v>412</v>
      </c>
      <c r="X20" s="646" t="s">
        <v>398</v>
      </c>
      <c r="Y20" s="646" t="s">
        <v>398</v>
      </c>
      <c r="Z20" s="646" t="s">
        <v>398</v>
      </c>
      <c r="AA20" s="646" t="s">
        <v>412</v>
      </c>
      <c r="AB20" s="646" t="s">
        <v>412</v>
      </c>
      <c r="AC20" s="646" t="s">
        <v>398</v>
      </c>
      <c r="AD20" s="646" t="s">
        <v>412</v>
      </c>
      <c r="AE20" s="646" t="s">
        <v>398</v>
      </c>
      <c r="AF20" s="646" t="s">
        <v>398</v>
      </c>
      <c r="AG20" s="646" t="s">
        <v>398</v>
      </c>
      <c r="AH20" s="646" t="s">
        <v>412</v>
      </c>
      <c r="AI20" s="646" t="s">
        <v>412</v>
      </c>
      <c r="AJ20" s="646" t="s">
        <v>398</v>
      </c>
      <c r="AK20" s="646" t="s">
        <v>412</v>
      </c>
      <c r="AL20" s="646" t="s">
        <v>398</v>
      </c>
      <c r="AM20" s="646" t="s">
        <v>398</v>
      </c>
      <c r="AN20" s="646" t="s">
        <v>398</v>
      </c>
      <c r="AO20" s="646" t="s">
        <v>412</v>
      </c>
      <c r="AP20" s="646" t="s">
        <v>412</v>
      </c>
      <c r="AQ20" s="646" t="s">
        <v>398</v>
      </c>
      <c r="AR20" s="646"/>
      <c r="AS20" s="647">
        <f t="array" ref="AS20">SUM(COUNTIF(N20:AR20, {"◎","〇","☆","共","特","浴"}))</f>
        <v>17</v>
      </c>
      <c r="AT20" s="651"/>
      <c r="AU20" s="649"/>
      <c r="AV20" s="649"/>
      <c r="AW20" s="649"/>
      <c r="AX20" s="649"/>
      <c r="AY20" s="649"/>
      <c r="AZ20" s="649"/>
      <c r="BA20" s="649"/>
      <c r="BB20" s="652" t="s">
        <v>455</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v>
      </c>
      <c r="D21" s="200"/>
      <c r="E21" s="636" t="str">
        <f t="shared" si="5"/>
        <v>エリー</v>
      </c>
      <c r="F21" s="637" t="str">
        <f t="shared" si="6"/>
        <v>公</v>
      </c>
      <c r="G21" s="200"/>
      <c r="H21" s="200"/>
      <c r="I21" s="172" t="b">
        <v>0</v>
      </c>
      <c r="J21" s="618"/>
      <c r="K21" s="638" t="s">
        <v>456</v>
      </c>
      <c r="L21" s="639" t="s">
        <v>451</v>
      </c>
      <c r="M21" s="645"/>
      <c r="N21" s="646" t="s">
        <v>398</v>
      </c>
      <c r="O21" s="646" t="s">
        <v>412</v>
      </c>
      <c r="P21" s="646" t="s">
        <v>412</v>
      </c>
      <c r="Q21" s="646" t="s">
        <v>398</v>
      </c>
      <c r="R21" s="646" t="s">
        <v>398</v>
      </c>
      <c r="S21" s="646" t="s">
        <v>398</v>
      </c>
      <c r="T21" s="646" t="s">
        <v>412</v>
      </c>
      <c r="U21" s="646" t="s">
        <v>412</v>
      </c>
      <c r="V21" s="646" t="s">
        <v>412</v>
      </c>
      <c r="W21" s="646" t="s">
        <v>412</v>
      </c>
      <c r="X21" s="646" t="s">
        <v>398</v>
      </c>
      <c r="Y21" s="646" t="s">
        <v>412</v>
      </c>
      <c r="Z21" s="646" t="s">
        <v>398</v>
      </c>
      <c r="AA21" s="646" t="s">
        <v>412</v>
      </c>
      <c r="AB21" s="646" t="s">
        <v>398</v>
      </c>
      <c r="AC21" s="646" t="s">
        <v>412</v>
      </c>
      <c r="AD21" s="646" t="s">
        <v>412</v>
      </c>
      <c r="AE21" s="646" t="s">
        <v>398</v>
      </c>
      <c r="AF21" s="646" t="s">
        <v>398</v>
      </c>
      <c r="AG21" s="646" t="s">
        <v>398</v>
      </c>
      <c r="AH21" s="646" t="s">
        <v>412</v>
      </c>
      <c r="AI21" s="646" t="s">
        <v>412</v>
      </c>
      <c r="AJ21" s="646" t="s">
        <v>412</v>
      </c>
      <c r="AK21" s="646" t="s">
        <v>412</v>
      </c>
      <c r="AL21" s="646" t="s">
        <v>398</v>
      </c>
      <c r="AM21" s="646" t="s">
        <v>412</v>
      </c>
      <c r="AN21" s="646" t="s">
        <v>398</v>
      </c>
      <c r="AO21" s="646" t="s">
        <v>412</v>
      </c>
      <c r="AP21" s="646" t="s">
        <v>398</v>
      </c>
      <c r="AQ21" s="646" t="s">
        <v>412</v>
      </c>
      <c r="AR21" s="641"/>
      <c r="AS21" s="647">
        <f t="array" ref="AS21">SUM(COUNTIF(N21:AR21, {"◎","〇","☆","共","特","浴"}))</f>
        <v>13</v>
      </c>
      <c r="AT21" s="651"/>
      <c r="AU21" s="649"/>
      <c r="AV21" s="649"/>
      <c r="AW21" s="649"/>
      <c r="AX21" s="649"/>
      <c r="AY21" s="649"/>
      <c r="AZ21" s="649"/>
      <c r="BA21" s="649"/>
      <c r="BB21" s="652" t="s">
        <v>457</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v>
      </c>
      <c r="D22" s="200"/>
      <c r="E22" s="636" t="str">
        <f t="shared" si="5"/>
        <v>梅澤</v>
      </c>
      <c r="F22" s="637" t="str">
        <f t="shared" si="6"/>
        <v>☆</v>
      </c>
      <c r="G22" s="200"/>
      <c r="H22" s="200"/>
      <c r="I22" s="172" t="b">
        <v>0</v>
      </c>
      <c r="J22" s="618"/>
      <c r="K22" s="638" t="s">
        <v>458</v>
      </c>
      <c r="L22" s="639" t="s">
        <v>451</v>
      </c>
      <c r="M22" s="645"/>
      <c r="N22" s="646" t="s">
        <v>398</v>
      </c>
      <c r="O22" s="646" t="s">
        <v>420</v>
      </c>
      <c r="P22" s="646" t="s">
        <v>420</v>
      </c>
      <c r="Q22" s="646" t="s">
        <v>398</v>
      </c>
      <c r="R22" s="646" t="s">
        <v>398</v>
      </c>
      <c r="S22" s="646" t="s">
        <v>412</v>
      </c>
      <c r="T22" s="646" t="s">
        <v>412</v>
      </c>
      <c r="U22" s="646" t="s">
        <v>398</v>
      </c>
      <c r="V22" s="646" t="s">
        <v>420</v>
      </c>
      <c r="W22" s="646" t="s">
        <v>398</v>
      </c>
      <c r="X22" s="646" t="s">
        <v>398</v>
      </c>
      <c r="Y22" s="646" t="s">
        <v>398</v>
      </c>
      <c r="Z22" s="646" t="s">
        <v>412</v>
      </c>
      <c r="AA22" s="646" t="s">
        <v>412</v>
      </c>
      <c r="AB22" s="646" t="s">
        <v>398</v>
      </c>
      <c r="AC22" s="646" t="s">
        <v>398</v>
      </c>
      <c r="AD22" s="646" t="s">
        <v>398</v>
      </c>
      <c r="AE22" s="646" t="s">
        <v>420</v>
      </c>
      <c r="AF22" s="646" t="s">
        <v>420</v>
      </c>
      <c r="AG22" s="646" t="s">
        <v>412</v>
      </c>
      <c r="AH22" s="646" t="s">
        <v>420</v>
      </c>
      <c r="AI22" s="646" t="s">
        <v>398</v>
      </c>
      <c r="AJ22" s="646" t="s">
        <v>398</v>
      </c>
      <c r="AK22" s="646" t="s">
        <v>398</v>
      </c>
      <c r="AL22" s="646" t="s">
        <v>398</v>
      </c>
      <c r="AM22" s="646" t="s">
        <v>398</v>
      </c>
      <c r="AN22" s="646" t="s">
        <v>412</v>
      </c>
      <c r="AO22" s="646" t="s">
        <v>412</v>
      </c>
      <c r="AP22" s="646" t="s">
        <v>398</v>
      </c>
      <c r="AQ22" s="646" t="s">
        <v>398</v>
      </c>
      <c r="AR22" s="641"/>
      <c r="AS22" s="647">
        <f t="array" ref="AS22">SUM(COUNTIF(N22:AR22, {"◎","〇","☆","共","特","浴"}))</f>
        <v>17</v>
      </c>
      <c r="AT22" s="648"/>
      <c r="AU22" s="649"/>
      <c r="AV22" s="649"/>
      <c r="AW22" s="649"/>
      <c r="AX22" s="649"/>
      <c r="AY22" s="649"/>
      <c r="AZ22" s="649"/>
      <c r="BA22" s="649"/>
      <c r="BB22" s="652" t="s">
        <v>459</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3"/>
        <v>ガルセス</v>
      </c>
      <c r="C26" s="637" t="str">
        <f t="shared" si="4"/>
        <v>N</v>
      </c>
      <c r="D26" s="200"/>
      <c r="E26" s="636" t="str">
        <f t="shared" si="5"/>
        <v>ガルセス</v>
      </c>
      <c r="F26" s="637" t="str">
        <f t="shared" si="6"/>
        <v>N</v>
      </c>
      <c r="G26" s="200"/>
      <c r="H26" s="200"/>
      <c r="I26" s="172" t="b">
        <v>0</v>
      </c>
      <c r="J26" s="618"/>
      <c r="K26" s="638" t="s">
        <v>460</v>
      </c>
      <c r="L26" s="639" t="s">
        <v>135</v>
      </c>
      <c r="M26" s="645"/>
      <c r="N26" s="646" t="s">
        <v>461</v>
      </c>
      <c r="O26" s="646" t="s">
        <v>461</v>
      </c>
      <c r="P26" s="646" t="s">
        <v>461</v>
      </c>
      <c r="Q26" s="646" t="s">
        <v>461</v>
      </c>
      <c r="R26" s="646" t="s">
        <v>461</v>
      </c>
      <c r="S26" s="646" t="s">
        <v>412</v>
      </c>
      <c r="T26" s="646" t="s">
        <v>412</v>
      </c>
      <c r="U26" s="646" t="s">
        <v>461</v>
      </c>
      <c r="V26" s="646" t="s">
        <v>461</v>
      </c>
      <c r="W26" s="646" t="s">
        <v>461</v>
      </c>
      <c r="X26" s="646" t="s">
        <v>461</v>
      </c>
      <c r="Y26" s="646" t="s">
        <v>461</v>
      </c>
      <c r="Z26" s="646" t="s">
        <v>412</v>
      </c>
      <c r="AA26" s="646" t="s">
        <v>412</v>
      </c>
      <c r="AB26" s="646" t="s">
        <v>461</v>
      </c>
      <c r="AC26" s="646" t="s">
        <v>461</v>
      </c>
      <c r="AD26" s="646" t="s">
        <v>461</v>
      </c>
      <c r="AE26" s="646" t="s">
        <v>461</v>
      </c>
      <c r="AF26" s="646" t="s">
        <v>412</v>
      </c>
      <c r="AG26" s="646" t="s">
        <v>412</v>
      </c>
      <c r="AH26" s="646" t="s">
        <v>412</v>
      </c>
      <c r="AI26" s="646" t="s">
        <v>461</v>
      </c>
      <c r="AJ26" s="646" t="s">
        <v>461</v>
      </c>
      <c r="AK26" s="646" t="s">
        <v>461</v>
      </c>
      <c r="AL26" s="646" t="s">
        <v>461</v>
      </c>
      <c r="AM26" s="646" t="s">
        <v>461</v>
      </c>
      <c r="AN26" s="646" t="s">
        <v>412</v>
      </c>
      <c r="AO26" s="646" t="s">
        <v>412</v>
      </c>
      <c r="AP26" s="646" t="s">
        <v>461</v>
      </c>
      <c r="AQ26" s="646" t="s">
        <v>461</v>
      </c>
      <c r="AR26" s="646"/>
      <c r="AS26" s="647">
        <f t="array" ref="AS26">SUM(COUNTIF(N26:AR26, {"◎","〇","☆","共","特","浴"}))</f>
        <v>0</v>
      </c>
      <c r="AT26" s="648"/>
      <c r="AU26" s="649"/>
      <c r="AV26" s="649"/>
      <c r="AW26" s="649"/>
      <c r="AX26" s="649"/>
      <c r="AY26" s="649"/>
      <c r="AZ26" s="649"/>
      <c r="BA26" s="649"/>
      <c r="BB26" s="652" t="s">
        <v>462</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3"/>
        <v>グレース</v>
      </c>
      <c r="C27" s="637" t="str">
        <f t="shared" si="4"/>
        <v>N</v>
      </c>
      <c r="D27" s="200"/>
      <c r="E27" s="636" t="str">
        <f t="shared" si="5"/>
        <v>グレース</v>
      </c>
      <c r="F27" s="637" t="str">
        <f t="shared" si="6"/>
        <v>公</v>
      </c>
      <c r="G27" s="200"/>
      <c r="H27" s="200"/>
      <c r="I27" s="172" t="b">
        <v>0</v>
      </c>
      <c r="J27" s="618"/>
      <c r="K27" s="638" t="s">
        <v>463</v>
      </c>
      <c r="L27" s="639" t="s">
        <v>135</v>
      </c>
      <c r="M27" s="645"/>
      <c r="N27" s="646" t="s">
        <v>412</v>
      </c>
      <c r="O27" s="646" t="s">
        <v>412</v>
      </c>
      <c r="P27" s="646" t="s">
        <v>412</v>
      </c>
      <c r="Q27" s="646" t="s">
        <v>461</v>
      </c>
      <c r="R27" s="646" t="s">
        <v>412</v>
      </c>
      <c r="S27" s="646" t="s">
        <v>461</v>
      </c>
      <c r="T27" s="646" t="s">
        <v>461</v>
      </c>
      <c r="U27" s="646" t="s">
        <v>412</v>
      </c>
      <c r="V27" s="646" t="s">
        <v>412</v>
      </c>
      <c r="W27" s="646" t="s">
        <v>412</v>
      </c>
      <c r="X27" s="646" t="s">
        <v>461</v>
      </c>
      <c r="Y27" s="646" t="s">
        <v>412</v>
      </c>
      <c r="Z27" s="646" t="s">
        <v>461</v>
      </c>
      <c r="AA27" s="646" t="s">
        <v>461</v>
      </c>
      <c r="AB27" s="646" t="s">
        <v>412</v>
      </c>
      <c r="AC27" s="646" t="s">
        <v>412</v>
      </c>
      <c r="AD27" s="646" t="s">
        <v>412</v>
      </c>
      <c r="AE27" s="646" t="s">
        <v>461</v>
      </c>
      <c r="AF27" s="646" t="s">
        <v>412</v>
      </c>
      <c r="AG27" s="646" t="s">
        <v>461</v>
      </c>
      <c r="AH27" s="646" t="s">
        <v>461</v>
      </c>
      <c r="AI27" s="646" t="s">
        <v>412</v>
      </c>
      <c r="AJ27" s="646" t="s">
        <v>412</v>
      </c>
      <c r="AK27" s="646" t="s">
        <v>412</v>
      </c>
      <c r="AL27" s="646" t="s">
        <v>461</v>
      </c>
      <c r="AM27" s="646" t="s">
        <v>412</v>
      </c>
      <c r="AN27" s="646" t="s">
        <v>461</v>
      </c>
      <c r="AO27" s="646" t="s">
        <v>461</v>
      </c>
      <c r="AP27" s="646" t="s">
        <v>412</v>
      </c>
      <c r="AQ27" s="646" t="s">
        <v>412</v>
      </c>
      <c r="AR27" s="641"/>
      <c r="AS27" s="647">
        <f t="array" ref="AS27">SUM(COUNTIF(N27:AR27, {"◎","〇","☆","共","特","浴"}))</f>
        <v>0</v>
      </c>
      <c r="AT27" s="648"/>
      <c r="AU27" s="649"/>
      <c r="AV27" s="649"/>
      <c r="AW27" s="649"/>
      <c r="AX27" s="649"/>
      <c r="AY27" s="649"/>
      <c r="AZ27" s="649"/>
      <c r="BA27" s="649"/>
      <c r="BB27" s="652" t="s">
        <v>464</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3"/>
        <v>メイド数</v>
      </c>
      <c r="C41" s="637">
        <f t="shared" si="4"/>
        <v>7</v>
      </c>
      <c r="D41" s="200"/>
      <c r="E41" s="636" t="str">
        <f t="shared" si="5"/>
        <v>メイド数</v>
      </c>
      <c r="F41" s="637">
        <f t="shared" si="6"/>
        <v>7</v>
      </c>
      <c r="G41" s="200"/>
      <c r="H41" s="200"/>
      <c r="I41" s="172" t="b">
        <v>0</v>
      </c>
      <c r="J41" s="618"/>
      <c r="K41" s="638" t="s">
        <v>465</v>
      </c>
      <c r="L41" s="639" t="s">
        <v>451</v>
      </c>
      <c r="M41" s="640" t="s">
        <v>192</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9</v>
      </c>
      <c r="AB41" s="641">
        <f t="shared" si="8"/>
        <v>9</v>
      </c>
      <c r="AC41" s="641">
        <f t="shared" si="8"/>
        <v>7</v>
      </c>
      <c r="AD41" s="641">
        <f t="shared" si="8"/>
        <v>9</v>
      </c>
      <c r="AE41" s="641">
        <f t="shared" si="8"/>
        <v>7</v>
      </c>
      <c r="AF41" s="641">
        <f t="shared" si="8"/>
        <v>7</v>
      </c>
      <c r="AG41" s="641">
        <f t="shared" si="8"/>
        <v>10</v>
      </c>
      <c r="AH41" s="641">
        <f t="shared" si="8"/>
        <v>10</v>
      </c>
      <c r="AI41" s="641">
        <f t="shared" si="8"/>
        <v>10</v>
      </c>
      <c r="AJ41" s="641">
        <f t="shared" si="8"/>
        <v>7</v>
      </c>
      <c r="AK41" s="641">
        <f t="shared" si="8"/>
        <v>9</v>
      </c>
      <c r="AL41" s="641">
        <f t="shared" si="8"/>
        <v>6</v>
      </c>
      <c r="AM41" s="641">
        <f t="shared" si="8"/>
        <v>6</v>
      </c>
      <c r="AN41" s="641">
        <f t="shared" si="8"/>
        <v>9</v>
      </c>
      <c r="AO41" s="641">
        <f t="shared" si="8"/>
        <v>9</v>
      </c>
      <c r="AP41" s="641">
        <f t="shared" si="8"/>
        <v>9</v>
      </c>
      <c r="AQ41" s="641">
        <f t="shared" si="8"/>
        <v>7</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3"/>
        <v>パブリック数</v>
      </c>
      <c r="C42" s="637">
        <f t="shared" si="4"/>
        <v>0</v>
      </c>
      <c r="D42" s="200"/>
      <c r="E42" s="636" t="str">
        <f t="shared" si="5"/>
        <v>パブリック数</v>
      </c>
      <c r="F42" s="637">
        <f t="shared" si="6"/>
        <v>1</v>
      </c>
      <c r="G42" s="200"/>
      <c r="H42" s="200"/>
      <c r="I42" s="172" t="b">
        <v>0</v>
      </c>
      <c r="J42" s="618"/>
      <c r="K42" s="638" t="s">
        <v>466</v>
      </c>
      <c r="L42" s="639" t="s">
        <v>451</v>
      </c>
      <c r="M42" s="640" t="s">
        <v>401</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0</v>
      </c>
      <c r="AM42" s="646">
        <f t="shared" si="10"/>
        <v>1</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3"/>
        <v>合計清掃数</v>
      </c>
      <c r="C43" s="637">
        <f t="shared" si="4"/>
        <v>100</v>
      </c>
      <c r="D43" s="200"/>
      <c r="E43" s="636" t="str">
        <f t="shared" si="5"/>
        <v>合計清掃数</v>
      </c>
      <c r="F43" s="637">
        <f t="shared" si="6"/>
        <v>99</v>
      </c>
      <c r="G43" s="200"/>
      <c r="H43" s="200"/>
      <c r="I43" s="655" t="b">
        <v>0</v>
      </c>
      <c r="J43" s="618"/>
      <c r="K43" s="656" t="s">
        <v>467</v>
      </c>
      <c r="L43" s="657" t="s">
        <v>449</v>
      </c>
      <c r="M43" s="658"/>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98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86</v>
      </c>
      <c r="AK43" s="641">
        <f t="shared" si="12"/>
        <v>105</v>
      </c>
      <c r="AL43" s="641">
        <f t="shared" si="12"/>
        <v>86</v>
      </c>
      <c r="AM43" s="641">
        <f t="shared" si="12"/>
        <v>85</v>
      </c>
      <c r="AN43" s="641">
        <f t="shared" si="12"/>
        <v>115</v>
      </c>
      <c r="AO43" s="641">
        <f t="shared" si="12"/>
        <v>99</v>
      </c>
      <c r="AP43" s="641">
        <f t="shared" si="12"/>
        <v>103</v>
      </c>
      <c r="AQ43" s="641">
        <f t="shared" si="12"/>
        <v>86</v>
      </c>
      <c r="AR43" s="641">
        <f t="shared" si="12"/>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468</v>
      </c>
      <c r="L44" s="639" t="s">
        <v>449</v>
      </c>
      <c r="M44" s="640" t="s">
        <v>469</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3"/>
        <v>早川</v>
      </c>
      <c r="C45" s="637" t="str">
        <f t="shared" si="4"/>
        <v>希</v>
      </c>
      <c r="D45" s="200"/>
      <c r="E45" s="636" t="str">
        <f t="shared" si="5"/>
        <v>早川</v>
      </c>
      <c r="F45" s="637" t="str">
        <f t="shared" si="6"/>
        <v>希</v>
      </c>
      <c r="G45" s="200"/>
      <c r="H45" s="200"/>
      <c r="I45" s="172" t="b">
        <v>0</v>
      </c>
      <c r="J45" s="618">
        <v>15.0</v>
      </c>
      <c r="K45" s="638" t="s">
        <v>470</v>
      </c>
      <c r="L45" s="639" t="s">
        <v>471</v>
      </c>
      <c r="M45" s="645"/>
      <c r="N45" s="646" t="s">
        <v>192</v>
      </c>
      <c r="O45" s="646" t="s">
        <v>192</v>
      </c>
      <c r="P45" s="646" t="s">
        <v>420</v>
      </c>
      <c r="Q45" s="646" t="s">
        <v>420</v>
      </c>
      <c r="R45" s="646" t="s">
        <v>420</v>
      </c>
      <c r="S45" s="646" t="s">
        <v>420</v>
      </c>
      <c r="T45" s="646" t="s">
        <v>420</v>
      </c>
      <c r="U45" s="646" t="s">
        <v>420</v>
      </c>
      <c r="V45" s="646" t="s">
        <v>420</v>
      </c>
      <c r="W45" s="646" t="s">
        <v>420</v>
      </c>
      <c r="X45" s="646" t="s">
        <v>420</v>
      </c>
      <c r="Y45" s="646" t="s">
        <v>420</v>
      </c>
      <c r="Z45" s="646" t="s">
        <v>420</v>
      </c>
      <c r="AA45" s="646" t="s">
        <v>420</v>
      </c>
      <c r="AB45" s="646" t="s">
        <v>420</v>
      </c>
      <c r="AC45" s="646" t="s">
        <v>420</v>
      </c>
      <c r="AD45" s="646" t="s">
        <v>420</v>
      </c>
      <c r="AE45" s="646" t="s">
        <v>420</v>
      </c>
      <c r="AF45" s="646" t="s">
        <v>420</v>
      </c>
      <c r="AG45" s="646" t="s">
        <v>192</v>
      </c>
      <c r="AH45" s="646" t="s">
        <v>192</v>
      </c>
      <c r="AI45" s="646" t="s">
        <v>192</v>
      </c>
      <c r="AJ45" s="646" t="s">
        <v>192</v>
      </c>
      <c r="AK45" s="646" t="s">
        <v>412</v>
      </c>
      <c r="AL45" s="646" t="s">
        <v>412</v>
      </c>
      <c r="AM45" s="646" t="s">
        <v>412</v>
      </c>
      <c r="AN45" s="646" t="s">
        <v>192</v>
      </c>
      <c r="AO45" s="646" t="s">
        <v>192</v>
      </c>
      <c r="AP45" s="646" t="s">
        <v>192</v>
      </c>
      <c r="AQ45" s="646" t="s">
        <v>192</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公</v>
      </c>
      <c r="G46" s="200"/>
      <c r="H46" s="200"/>
      <c r="I46" s="172" t="b">
        <v>0</v>
      </c>
      <c r="J46" s="618">
        <v>15.0</v>
      </c>
      <c r="K46" s="638" t="s">
        <v>472</v>
      </c>
      <c r="L46" s="639" t="s">
        <v>471</v>
      </c>
      <c r="M46" s="645"/>
      <c r="N46" s="646" t="s">
        <v>192</v>
      </c>
      <c r="O46" s="646" t="s">
        <v>192</v>
      </c>
      <c r="P46" s="646" t="s">
        <v>192</v>
      </c>
      <c r="Q46" s="646" t="s">
        <v>412</v>
      </c>
      <c r="R46" s="646" t="s">
        <v>412</v>
      </c>
      <c r="S46" s="646" t="s">
        <v>192</v>
      </c>
      <c r="T46" s="646" t="s">
        <v>192</v>
      </c>
      <c r="U46" s="646" t="s">
        <v>192</v>
      </c>
      <c r="V46" s="646" t="s">
        <v>412</v>
      </c>
      <c r="W46" s="646" t="s">
        <v>192</v>
      </c>
      <c r="X46" s="646" t="s">
        <v>192</v>
      </c>
      <c r="Y46" s="646" t="s">
        <v>412</v>
      </c>
      <c r="Z46" s="646" t="s">
        <v>412</v>
      </c>
      <c r="AA46" s="646" t="s">
        <v>192</v>
      </c>
      <c r="AB46" s="646" t="s">
        <v>192</v>
      </c>
      <c r="AC46" s="646" t="s">
        <v>192</v>
      </c>
      <c r="AD46" s="646" t="s">
        <v>192</v>
      </c>
      <c r="AE46" s="646" t="s">
        <v>192</v>
      </c>
      <c r="AF46" s="646" t="s">
        <v>412</v>
      </c>
      <c r="AG46" s="646" t="s">
        <v>192</v>
      </c>
      <c r="AH46" s="646" t="s">
        <v>192</v>
      </c>
      <c r="AI46" s="646" t="s">
        <v>192</v>
      </c>
      <c r="AJ46" s="646" t="s">
        <v>412</v>
      </c>
      <c r="AK46" s="646" t="s">
        <v>192</v>
      </c>
      <c r="AL46" s="646" t="s">
        <v>192</v>
      </c>
      <c r="AM46" s="646" t="s">
        <v>412</v>
      </c>
      <c r="AN46" s="646" t="s">
        <v>192</v>
      </c>
      <c r="AO46" s="646" t="s">
        <v>192</v>
      </c>
      <c r="AP46" s="646" t="s">
        <v>192</v>
      </c>
      <c r="AQ46" s="646" t="s">
        <v>412</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〇</v>
      </c>
      <c r="G47" s="200"/>
      <c r="H47" s="200"/>
      <c r="I47" s="172" t="b">
        <v>0</v>
      </c>
      <c r="J47" s="618">
        <v>17.0</v>
      </c>
      <c r="K47" s="638" t="s">
        <v>113</v>
      </c>
      <c r="L47" s="639" t="s">
        <v>471</v>
      </c>
      <c r="M47" s="645"/>
      <c r="N47" s="646" t="s">
        <v>412</v>
      </c>
      <c r="O47" s="646" t="s">
        <v>192</v>
      </c>
      <c r="P47" s="646" t="s">
        <v>192</v>
      </c>
      <c r="Q47" s="646" t="s">
        <v>192</v>
      </c>
      <c r="R47" s="646" t="s">
        <v>192</v>
      </c>
      <c r="S47" s="646" t="s">
        <v>192</v>
      </c>
      <c r="T47" s="646" t="s">
        <v>192</v>
      </c>
      <c r="U47" s="646" t="s">
        <v>412</v>
      </c>
      <c r="V47" s="646" t="s">
        <v>192</v>
      </c>
      <c r="W47" s="646" t="s">
        <v>192</v>
      </c>
      <c r="X47" s="646" t="s">
        <v>192</v>
      </c>
      <c r="Y47" s="646" t="s">
        <v>192</v>
      </c>
      <c r="Z47" s="646" t="s">
        <v>192</v>
      </c>
      <c r="AA47" s="646" t="s">
        <v>192</v>
      </c>
      <c r="AB47" s="646" t="s">
        <v>412</v>
      </c>
      <c r="AC47" s="646" t="s">
        <v>192</v>
      </c>
      <c r="AD47" s="646" t="s">
        <v>192</v>
      </c>
      <c r="AE47" s="646" t="s">
        <v>192</v>
      </c>
      <c r="AF47" s="646" t="s">
        <v>192</v>
      </c>
      <c r="AG47" s="646" t="s">
        <v>192</v>
      </c>
      <c r="AH47" s="646" t="s">
        <v>192</v>
      </c>
      <c r="AI47" s="646" t="s">
        <v>412</v>
      </c>
      <c r="AJ47" s="646" t="s">
        <v>192</v>
      </c>
      <c r="AK47" s="646" t="s">
        <v>192</v>
      </c>
      <c r="AL47" s="646" t="s">
        <v>192</v>
      </c>
      <c r="AM47" s="646" t="s">
        <v>192</v>
      </c>
      <c r="AN47" s="646" t="s">
        <v>192</v>
      </c>
      <c r="AO47" s="646" t="s">
        <v>192</v>
      </c>
      <c r="AP47" s="646" t="s">
        <v>412</v>
      </c>
      <c r="AQ47" s="646" t="s">
        <v>192</v>
      </c>
      <c r="AR47" s="641"/>
      <c r="AS47" s="647">
        <f t="array" ref="AS47">SUM(COUNTIF(N47:AR47, {"◎","〇","☆","共","特","浴"}))</f>
        <v>25</v>
      </c>
      <c r="AT47" s="648"/>
      <c r="AU47" s="649"/>
      <c r="AV47" s="649"/>
      <c r="AW47" s="649"/>
      <c r="AX47" s="649"/>
      <c r="AY47" s="649"/>
      <c r="AZ47" s="649"/>
      <c r="BA47" s="649"/>
      <c r="BB47" s="652" t="s">
        <v>473</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3"/>
        <v>タラ</v>
      </c>
      <c r="C48" s="637" t="str">
        <f t="shared" si="4"/>
        <v>〇</v>
      </c>
      <c r="D48" s="200"/>
      <c r="E48" s="636" t="str">
        <f t="shared" si="5"/>
        <v>タラ</v>
      </c>
      <c r="F48" s="637" t="str">
        <f t="shared" si="6"/>
        <v>〇</v>
      </c>
      <c r="G48" s="200"/>
      <c r="H48" s="200"/>
      <c r="I48" s="172" t="b">
        <v>0</v>
      </c>
      <c r="J48" s="618">
        <v>16.0</v>
      </c>
      <c r="K48" s="638" t="s">
        <v>474</v>
      </c>
      <c r="L48" s="639" t="s">
        <v>471</v>
      </c>
      <c r="M48" s="645"/>
      <c r="N48" s="646" t="s">
        <v>192</v>
      </c>
      <c r="O48" s="646" t="s">
        <v>192</v>
      </c>
      <c r="P48" s="646" t="s">
        <v>192</v>
      </c>
      <c r="Q48" s="646" t="s">
        <v>192</v>
      </c>
      <c r="R48" s="646" t="s">
        <v>192</v>
      </c>
      <c r="S48" s="646" t="s">
        <v>412</v>
      </c>
      <c r="T48" s="646" t="s">
        <v>412</v>
      </c>
      <c r="U48" s="646" t="s">
        <v>192</v>
      </c>
      <c r="V48" s="646" t="s">
        <v>192</v>
      </c>
      <c r="W48" s="646" t="s">
        <v>192</v>
      </c>
      <c r="X48" s="646" t="s">
        <v>192</v>
      </c>
      <c r="Y48" s="646" t="s">
        <v>192</v>
      </c>
      <c r="Z48" s="646" t="s">
        <v>412</v>
      </c>
      <c r="AA48" s="646" t="s">
        <v>412</v>
      </c>
      <c r="AB48" s="646" t="s">
        <v>192</v>
      </c>
      <c r="AC48" s="646" t="s">
        <v>192</v>
      </c>
      <c r="AD48" s="646" t="s">
        <v>192</v>
      </c>
      <c r="AE48" s="646" t="s">
        <v>192</v>
      </c>
      <c r="AF48" s="646" t="s">
        <v>192</v>
      </c>
      <c r="AG48" s="646" t="s">
        <v>412</v>
      </c>
      <c r="AH48" s="646" t="s">
        <v>412</v>
      </c>
      <c r="AI48" s="646" t="s">
        <v>192</v>
      </c>
      <c r="AJ48" s="646" t="s">
        <v>192</v>
      </c>
      <c r="AK48" s="646" t="s">
        <v>192</v>
      </c>
      <c r="AL48" s="646" t="s">
        <v>192</v>
      </c>
      <c r="AM48" s="646" t="s">
        <v>192</v>
      </c>
      <c r="AN48" s="646" t="s">
        <v>412</v>
      </c>
      <c r="AO48" s="646" t="s">
        <v>412</v>
      </c>
      <c r="AP48" s="646" t="s">
        <v>192</v>
      </c>
      <c r="AQ48" s="646" t="s">
        <v>192</v>
      </c>
      <c r="AR48" s="641"/>
      <c r="AS48" s="647">
        <f t="array" ref="AS48">SUM(COUNTIF(N48:AR48, {"◎","〇","☆","共","特","浴"}))</f>
        <v>22</v>
      </c>
      <c r="AT48" s="651"/>
      <c r="AU48" s="649"/>
      <c r="AV48" s="649"/>
      <c r="AW48" s="649"/>
      <c r="AX48" s="649"/>
      <c r="AY48" s="649"/>
      <c r="AZ48" s="649"/>
      <c r="BA48" s="649"/>
      <c r="BB48" s="652" t="s">
        <v>462</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〇</v>
      </c>
      <c r="G49" s="200"/>
      <c r="H49" s="200"/>
      <c r="I49" s="172" t="b">
        <v>0</v>
      </c>
      <c r="J49" s="618">
        <v>14.0</v>
      </c>
      <c r="K49" s="638" t="s">
        <v>475</v>
      </c>
      <c r="L49" s="639" t="s">
        <v>471</v>
      </c>
      <c r="M49" s="645"/>
      <c r="N49" s="646" t="s">
        <v>192</v>
      </c>
      <c r="O49" s="646" t="s">
        <v>412</v>
      </c>
      <c r="P49" s="646" t="s">
        <v>412</v>
      </c>
      <c r="Q49" s="646" t="s">
        <v>192</v>
      </c>
      <c r="R49" s="646" t="s">
        <v>192</v>
      </c>
      <c r="S49" s="646" t="s">
        <v>192</v>
      </c>
      <c r="T49" s="646" t="s">
        <v>192</v>
      </c>
      <c r="U49" s="646" t="s">
        <v>192</v>
      </c>
      <c r="V49" s="646" t="s">
        <v>412</v>
      </c>
      <c r="W49" s="646" t="s">
        <v>412</v>
      </c>
      <c r="X49" s="646" t="s">
        <v>192</v>
      </c>
      <c r="Y49" s="646" t="s">
        <v>192</v>
      </c>
      <c r="Z49" s="646" t="s">
        <v>192</v>
      </c>
      <c r="AA49" s="646" t="s">
        <v>192</v>
      </c>
      <c r="AB49" s="646" t="s">
        <v>192</v>
      </c>
      <c r="AC49" s="646" t="s">
        <v>412</v>
      </c>
      <c r="AD49" s="646" t="s">
        <v>412</v>
      </c>
      <c r="AE49" s="646" t="s">
        <v>192</v>
      </c>
      <c r="AF49" s="646" t="s">
        <v>192</v>
      </c>
      <c r="AG49" s="646" t="s">
        <v>192</v>
      </c>
      <c r="AH49" s="646" t="s">
        <v>192</v>
      </c>
      <c r="AI49" s="646" t="s">
        <v>192</v>
      </c>
      <c r="AJ49" s="646" t="s">
        <v>412</v>
      </c>
      <c r="AK49" s="646" t="s">
        <v>420</v>
      </c>
      <c r="AL49" s="646" t="s">
        <v>420</v>
      </c>
      <c r="AM49" s="646" t="s">
        <v>420</v>
      </c>
      <c r="AN49" s="646" t="s">
        <v>420</v>
      </c>
      <c r="AO49" s="646" t="s">
        <v>420</v>
      </c>
      <c r="AP49" s="646" t="s">
        <v>420</v>
      </c>
      <c r="AQ49" s="646" t="s">
        <v>420</v>
      </c>
      <c r="AR49" s="641"/>
      <c r="AS49" s="647">
        <f t="array" ref="AS49">SUM(COUNTIF(N49:AR49, {"◎","〇","☆","共","特","浴"}))</f>
        <v>16</v>
      </c>
      <c r="AT49" s="651"/>
      <c r="AU49" s="649"/>
      <c r="AV49" s="649"/>
      <c r="AW49" s="649"/>
      <c r="AX49" s="649"/>
      <c r="AY49" s="649"/>
      <c r="AZ49" s="649"/>
      <c r="BA49" s="649"/>
      <c r="BB49" s="652" t="s">
        <v>476</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3"/>
        <v>ウィン</v>
      </c>
      <c r="C50" s="637" t="str">
        <f t="shared" si="4"/>
        <v>公</v>
      </c>
      <c r="D50" s="200"/>
      <c r="E50" s="636" t="str">
        <f t="shared" si="5"/>
        <v>ウィン</v>
      </c>
      <c r="F50" s="637" t="str">
        <f t="shared" si="6"/>
        <v>公</v>
      </c>
      <c r="G50" s="200"/>
      <c r="H50" s="200"/>
      <c r="I50" s="172" t="b">
        <v>0</v>
      </c>
      <c r="J50" s="618">
        <v>12.0</v>
      </c>
      <c r="K50" s="638" t="s">
        <v>477</v>
      </c>
      <c r="L50" s="639" t="s">
        <v>478</v>
      </c>
      <c r="M50" s="645"/>
      <c r="N50" s="646" t="s">
        <v>192</v>
      </c>
      <c r="O50" s="646" t="s">
        <v>192</v>
      </c>
      <c r="P50" s="646" t="s">
        <v>192</v>
      </c>
      <c r="Q50" s="646" t="s">
        <v>412</v>
      </c>
      <c r="R50" s="646" t="s">
        <v>412</v>
      </c>
      <c r="S50" s="646" t="s">
        <v>412</v>
      </c>
      <c r="T50" s="646" t="s">
        <v>412</v>
      </c>
      <c r="U50" s="646" t="s">
        <v>192</v>
      </c>
      <c r="V50" s="646" t="s">
        <v>192</v>
      </c>
      <c r="W50" s="646" t="s">
        <v>192</v>
      </c>
      <c r="X50" s="646" t="s">
        <v>412</v>
      </c>
      <c r="Y50" s="646" t="s">
        <v>412</v>
      </c>
      <c r="Z50" s="646" t="s">
        <v>412</v>
      </c>
      <c r="AA50" s="646" t="s">
        <v>412</v>
      </c>
      <c r="AB50" s="646" t="s">
        <v>192</v>
      </c>
      <c r="AC50" s="646" t="s">
        <v>192</v>
      </c>
      <c r="AD50" s="646" t="s">
        <v>192</v>
      </c>
      <c r="AE50" s="646" t="s">
        <v>412</v>
      </c>
      <c r="AF50" s="646" t="s">
        <v>412</v>
      </c>
      <c r="AG50" s="646" t="s">
        <v>412</v>
      </c>
      <c r="AH50" s="646" t="s">
        <v>412</v>
      </c>
      <c r="AI50" s="646" t="s">
        <v>192</v>
      </c>
      <c r="AJ50" s="646" t="s">
        <v>192</v>
      </c>
      <c r="AK50" s="646" t="s">
        <v>192</v>
      </c>
      <c r="AL50" s="646" t="s">
        <v>412</v>
      </c>
      <c r="AM50" s="646" t="s">
        <v>412</v>
      </c>
      <c r="AN50" s="646" t="s">
        <v>412</v>
      </c>
      <c r="AO50" s="646" t="s">
        <v>412</v>
      </c>
      <c r="AP50" s="646" t="s">
        <v>192</v>
      </c>
      <c r="AQ50" s="646" t="s">
        <v>192</v>
      </c>
      <c r="AR50" s="641"/>
      <c r="AS50" s="647">
        <f t="array" ref="AS50">SUM(COUNTIF(N50:AR50, {"◎","〇","☆","共","特","浴"}))</f>
        <v>14</v>
      </c>
      <c r="AT50" s="651"/>
      <c r="AU50" s="649"/>
      <c r="AV50" s="649"/>
      <c r="AW50" s="649"/>
      <c r="AX50" s="649"/>
      <c r="AY50" s="649"/>
      <c r="AZ50" s="649"/>
      <c r="BA50" s="649"/>
      <c r="BB50" s="652" t="s">
        <v>479</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3"/>
        <v>スレスタ</v>
      </c>
      <c r="C51" s="637" t="str">
        <f t="shared" si="4"/>
        <v>公</v>
      </c>
      <c r="D51" s="200"/>
      <c r="E51" s="636" t="str">
        <f t="shared" si="5"/>
        <v>スレスタ</v>
      </c>
      <c r="F51" s="637" t="str">
        <f t="shared" si="6"/>
        <v>公</v>
      </c>
      <c r="G51" s="200"/>
      <c r="H51" s="200"/>
      <c r="I51" s="172" t="b">
        <v>0</v>
      </c>
      <c r="J51" s="618">
        <v>13.0</v>
      </c>
      <c r="K51" s="638" t="s">
        <v>480</v>
      </c>
      <c r="L51" s="639"/>
      <c r="M51" s="645"/>
      <c r="N51" s="646" t="s">
        <v>192</v>
      </c>
      <c r="O51" s="646" t="s">
        <v>192</v>
      </c>
      <c r="P51" s="646" t="s">
        <v>412</v>
      </c>
      <c r="Q51" s="646" t="s">
        <v>412</v>
      </c>
      <c r="R51" s="646" t="s">
        <v>412</v>
      </c>
      <c r="S51" s="646" t="s">
        <v>192</v>
      </c>
      <c r="T51" s="646" t="s">
        <v>192</v>
      </c>
      <c r="U51" s="646" t="s">
        <v>192</v>
      </c>
      <c r="V51" s="646" t="s">
        <v>192</v>
      </c>
      <c r="W51" s="646" t="s">
        <v>412</v>
      </c>
      <c r="X51" s="646" t="s">
        <v>412</v>
      </c>
      <c r="Y51" s="646" t="s">
        <v>412</v>
      </c>
      <c r="Z51" s="646" t="s">
        <v>192</v>
      </c>
      <c r="AA51" s="646" t="s">
        <v>192</v>
      </c>
      <c r="AB51" s="646" t="s">
        <v>192</v>
      </c>
      <c r="AC51" s="646" t="s">
        <v>192</v>
      </c>
      <c r="AD51" s="646" t="s">
        <v>412</v>
      </c>
      <c r="AE51" s="646" t="s">
        <v>412</v>
      </c>
      <c r="AF51" s="646" t="s">
        <v>412</v>
      </c>
      <c r="AG51" s="646" t="s">
        <v>192</v>
      </c>
      <c r="AH51" s="646" t="s">
        <v>192</v>
      </c>
      <c r="AI51" s="646" t="s">
        <v>192</v>
      </c>
      <c r="AJ51" s="646" t="s">
        <v>192</v>
      </c>
      <c r="AK51" s="646" t="s">
        <v>412</v>
      </c>
      <c r="AL51" s="646" t="s">
        <v>412</v>
      </c>
      <c r="AM51" s="646" t="s">
        <v>412</v>
      </c>
      <c r="AN51" s="646" t="s">
        <v>192</v>
      </c>
      <c r="AO51" s="646" t="s">
        <v>192</v>
      </c>
      <c r="AP51" s="646" t="s">
        <v>192</v>
      </c>
      <c r="AQ51" s="646" t="s">
        <v>192</v>
      </c>
      <c r="AR51" s="641"/>
      <c r="AS51" s="647">
        <f t="array" ref="AS51">SUM(COUNTIF(N51:AR51, {"◎","〇","☆","共","特","浴"}))</f>
        <v>18</v>
      </c>
      <c r="AT51" s="651"/>
      <c r="AU51" s="649"/>
      <c r="AV51" s="649"/>
      <c r="AW51" s="649"/>
      <c r="AX51" s="649"/>
      <c r="AY51" s="649"/>
      <c r="AZ51" s="649"/>
      <c r="BA51" s="649"/>
      <c r="BB51" s="652" t="s">
        <v>481</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3"/>
        <v>バンダリ</v>
      </c>
      <c r="C52" s="637" t="str">
        <f t="shared" si="4"/>
        <v>公</v>
      </c>
      <c r="D52" s="200"/>
      <c r="E52" s="636" t="str">
        <f t="shared" si="5"/>
        <v>バンダリ</v>
      </c>
      <c r="F52" s="637" t="str">
        <f t="shared" si="6"/>
        <v>〇</v>
      </c>
      <c r="G52" s="200"/>
      <c r="H52" s="200"/>
      <c r="I52" s="172" t="b">
        <v>0</v>
      </c>
      <c r="J52" s="618">
        <v>14.0</v>
      </c>
      <c r="K52" s="638" t="s">
        <v>482</v>
      </c>
      <c r="L52" s="639" t="s">
        <v>471</v>
      </c>
      <c r="M52" s="640"/>
      <c r="N52" s="646" t="s">
        <v>412</v>
      </c>
      <c r="O52" s="646" t="s">
        <v>412</v>
      </c>
      <c r="P52" s="646" t="s">
        <v>412</v>
      </c>
      <c r="Q52" s="646" t="s">
        <v>412</v>
      </c>
      <c r="R52" s="646" t="s">
        <v>192</v>
      </c>
      <c r="S52" s="646" t="s">
        <v>192</v>
      </c>
      <c r="T52" s="646" t="s">
        <v>192</v>
      </c>
      <c r="U52" s="646" t="s">
        <v>412</v>
      </c>
      <c r="V52" s="646" t="s">
        <v>412</v>
      </c>
      <c r="W52" s="646" t="s">
        <v>412</v>
      </c>
      <c r="X52" s="646" t="s">
        <v>412</v>
      </c>
      <c r="Y52" s="646" t="s">
        <v>192</v>
      </c>
      <c r="Z52" s="646" t="s">
        <v>192</v>
      </c>
      <c r="AA52" s="646" t="s">
        <v>192</v>
      </c>
      <c r="AB52" s="646" t="s">
        <v>412</v>
      </c>
      <c r="AC52" s="646" t="s">
        <v>412</v>
      </c>
      <c r="AD52" s="646" t="s">
        <v>412</v>
      </c>
      <c r="AE52" s="646" t="s">
        <v>412</v>
      </c>
      <c r="AF52" s="646" t="s">
        <v>192</v>
      </c>
      <c r="AG52" s="646" t="s">
        <v>192</v>
      </c>
      <c r="AH52" s="646" t="s">
        <v>192</v>
      </c>
      <c r="AI52" s="646" t="s">
        <v>412</v>
      </c>
      <c r="AJ52" s="646" t="s">
        <v>412</v>
      </c>
      <c r="AK52" s="646" t="s">
        <v>412</v>
      </c>
      <c r="AL52" s="646" t="s">
        <v>412</v>
      </c>
      <c r="AM52" s="646" t="s">
        <v>192</v>
      </c>
      <c r="AN52" s="646" t="s">
        <v>192</v>
      </c>
      <c r="AO52" s="646" t="s">
        <v>192</v>
      </c>
      <c r="AP52" s="646" t="s">
        <v>412</v>
      </c>
      <c r="AQ52" s="646" t="s">
        <v>412</v>
      </c>
      <c r="AR52" s="641"/>
      <c r="AS52" s="647">
        <f t="array" ref="AS52">SUM(COUNTIF(N52:AR52, {"◎","〇","☆","共","特","浴"}))</f>
        <v>12</v>
      </c>
      <c r="AT52" s="648"/>
      <c r="AU52" s="649"/>
      <c r="AV52" s="649"/>
      <c r="AW52" s="649"/>
      <c r="AX52" s="649"/>
      <c r="AY52" s="649"/>
      <c r="AZ52" s="649"/>
      <c r="BA52" s="649"/>
      <c r="BB52" s="652" t="s">
        <v>483</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3"/>
        <v>カトリ</v>
      </c>
      <c r="C54" s="637" t="str">
        <f t="shared" si="4"/>
        <v>〇</v>
      </c>
      <c r="D54" s="200"/>
      <c r="E54" s="636" t="str">
        <f t="shared" si="5"/>
        <v>カトリ</v>
      </c>
      <c r="F54" s="637" t="str">
        <f t="shared" si="6"/>
        <v>〇</v>
      </c>
      <c r="G54" s="200"/>
      <c r="H54" s="200"/>
      <c r="I54" s="172" t="b">
        <v>0</v>
      </c>
      <c r="J54" s="618">
        <v>13.0</v>
      </c>
      <c r="K54" s="638" t="s">
        <v>125</v>
      </c>
      <c r="L54" s="639"/>
      <c r="M54" s="645"/>
      <c r="N54" s="646" t="s">
        <v>412</v>
      </c>
      <c r="O54" s="646" t="s">
        <v>412</v>
      </c>
      <c r="P54" s="646" t="s">
        <v>192</v>
      </c>
      <c r="Q54" s="646" t="s">
        <v>192</v>
      </c>
      <c r="R54" s="646" t="s">
        <v>192</v>
      </c>
      <c r="S54" s="646" t="s">
        <v>192</v>
      </c>
      <c r="T54" s="646" t="s">
        <v>412</v>
      </c>
      <c r="U54" s="646" t="s">
        <v>412</v>
      </c>
      <c r="V54" s="646" t="s">
        <v>412</v>
      </c>
      <c r="W54" s="646" t="s">
        <v>192</v>
      </c>
      <c r="X54" s="646" t="s">
        <v>192</v>
      </c>
      <c r="Y54" s="646" t="s">
        <v>192</v>
      </c>
      <c r="Z54" s="646" t="s">
        <v>192</v>
      </c>
      <c r="AA54" s="646" t="s">
        <v>412</v>
      </c>
      <c r="AB54" s="646" t="s">
        <v>412</v>
      </c>
      <c r="AC54" s="646" t="s">
        <v>412</v>
      </c>
      <c r="AD54" s="646" t="s">
        <v>192</v>
      </c>
      <c r="AE54" s="646" t="s">
        <v>192</v>
      </c>
      <c r="AF54" s="646" t="s">
        <v>192</v>
      </c>
      <c r="AG54" s="646" t="s">
        <v>192</v>
      </c>
      <c r="AH54" s="646" t="s">
        <v>412</v>
      </c>
      <c r="AI54" s="646" t="s">
        <v>412</v>
      </c>
      <c r="AJ54" s="646" t="s">
        <v>412</v>
      </c>
      <c r="AK54" s="646" t="s">
        <v>192</v>
      </c>
      <c r="AL54" s="646" t="s">
        <v>192</v>
      </c>
      <c r="AM54" s="646" t="s">
        <v>192</v>
      </c>
      <c r="AN54" s="646" t="s">
        <v>192</v>
      </c>
      <c r="AO54" s="646" t="s">
        <v>412</v>
      </c>
      <c r="AP54" s="646" t="s">
        <v>412</v>
      </c>
      <c r="AQ54" s="646" t="s">
        <v>412</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3"/>
        <v>GT</v>
      </c>
      <c r="C55" s="637" t="str">
        <f t="shared" si="4"/>
        <v>〇</v>
      </c>
      <c r="D55" s="200"/>
      <c r="E55" s="636" t="str">
        <f t="shared" si="5"/>
        <v>GT</v>
      </c>
      <c r="F55" s="637" t="str">
        <f t="shared" si="6"/>
        <v>〇</v>
      </c>
      <c r="G55" s="200"/>
      <c r="H55" s="200"/>
      <c r="I55" s="172" t="b">
        <v>0</v>
      </c>
      <c r="J55" s="618">
        <v>15.0</v>
      </c>
      <c r="K55" s="638" t="s">
        <v>484</v>
      </c>
      <c r="L55" s="639"/>
      <c r="M55" s="645"/>
      <c r="N55" s="646" t="s">
        <v>412</v>
      </c>
      <c r="O55" s="646" t="s">
        <v>412</v>
      </c>
      <c r="P55" s="646" t="s">
        <v>192</v>
      </c>
      <c r="Q55" s="646" t="s">
        <v>192</v>
      </c>
      <c r="R55" s="646" t="s">
        <v>192</v>
      </c>
      <c r="S55" s="646" t="s">
        <v>192</v>
      </c>
      <c r="T55" s="646" t="s">
        <v>412</v>
      </c>
      <c r="U55" s="646" t="s">
        <v>412</v>
      </c>
      <c r="V55" s="646" t="s">
        <v>412</v>
      </c>
      <c r="W55" s="646" t="s">
        <v>192</v>
      </c>
      <c r="X55" s="646" t="s">
        <v>192</v>
      </c>
      <c r="Y55" s="646" t="s">
        <v>192</v>
      </c>
      <c r="Z55" s="646" t="s">
        <v>192</v>
      </c>
      <c r="AA55" s="646" t="s">
        <v>412</v>
      </c>
      <c r="AB55" s="646" t="s">
        <v>412</v>
      </c>
      <c r="AC55" s="646" t="s">
        <v>412</v>
      </c>
      <c r="AD55" s="646" t="s">
        <v>192</v>
      </c>
      <c r="AE55" s="646" t="s">
        <v>192</v>
      </c>
      <c r="AF55" s="646" t="s">
        <v>192</v>
      </c>
      <c r="AG55" s="646" t="s">
        <v>192</v>
      </c>
      <c r="AH55" s="646" t="s">
        <v>412</v>
      </c>
      <c r="AI55" s="646" t="s">
        <v>412</v>
      </c>
      <c r="AJ55" s="646" t="s">
        <v>412</v>
      </c>
      <c r="AK55" s="646" t="s">
        <v>192</v>
      </c>
      <c r="AL55" s="646" t="s">
        <v>192</v>
      </c>
      <c r="AM55" s="646" t="s">
        <v>192</v>
      </c>
      <c r="AN55" s="646" t="s">
        <v>192</v>
      </c>
      <c r="AO55" s="646" t="s">
        <v>412</v>
      </c>
      <c r="AP55" s="646" t="s">
        <v>412</v>
      </c>
      <c r="AQ55" s="646" t="s">
        <v>412</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3"/>
        <v>ギミレ</v>
      </c>
      <c r="C56" s="637" t="str">
        <f t="shared" si="4"/>
        <v>〇</v>
      </c>
      <c r="D56" s="200"/>
      <c r="E56" s="636" t="str">
        <f t="shared" si="5"/>
        <v>ギミレ</v>
      </c>
      <c r="F56" s="637" t="str">
        <f t="shared" si="6"/>
        <v>公</v>
      </c>
      <c r="G56" s="200"/>
      <c r="H56" s="200"/>
      <c r="I56" s="172" t="b">
        <v>0</v>
      </c>
      <c r="J56" s="618">
        <v>10.0</v>
      </c>
      <c r="K56" s="638" t="s">
        <v>159</v>
      </c>
      <c r="L56" s="639"/>
      <c r="M56" s="645"/>
      <c r="N56" s="646" t="s">
        <v>192</v>
      </c>
      <c r="O56" s="646" t="s">
        <v>412</v>
      </c>
      <c r="P56" s="646" t="s">
        <v>192</v>
      </c>
      <c r="Q56" s="646" t="s">
        <v>192</v>
      </c>
      <c r="R56" s="646" t="s">
        <v>412</v>
      </c>
      <c r="S56" s="646" t="s">
        <v>412</v>
      </c>
      <c r="T56" s="646" t="s">
        <v>192</v>
      </c>
      <c r="U56" s="646" t="s">
        <v>192</v>
      </c>
      <c r="V56" s="646" t="s">
        <v>412</v>
      </c>
      <c r="W56" s="646" t="s">
        <v>192</v>
      </c>
      <c r="X56" s="646" t="s">
        <v>192</v>
      </c>
      <c r="Y56" s="646" t="s">
        <v>412</v>
      </c>
      <c r="Z56" s="646" t="s">
        <v>412</v>
      </c>
      <c r="AA56" s="646" t="s">
        <v>192</v>
      </c>
      <c r="AB56" s="646" t="s">
        <v>192</v>
      </c>
      <c r="AC56" s="646" t="s">
        <v>412</v>
      </c>
      <c r="AD56" s="646" t="s">
        <v>192</v>
      </c>
      <c r="AE56" s="646" t="s">
        <v>192</v>
      </c>
      <c r="AF56" s="646" t="s">
        <v>412</v>
      </c>
      <c r="AG56" s="646" t="s">
        <v>412</v>
      </c>
      <c r="AH56" s="646" t="s">
        <v>192</v>
      </c>
      <c r="AI56" s="646" t="s">
        <v>192</v>
      </c>
      <c r="AJ56" s="646" t="s">
        <v>412</v>
      </c>
      <c r="AK56" s="646" t="s">
        <v>192</v>
      </c>
      <c r="AL56" s="646" t="s">
        <v>192</v>
      </c>
      <c r="AM56" s="646" t="s">
        <v>412</v>
      </c>
      <c r="AN56" s="646" t="s">
        <v>412</v>
      </c>
      <c r="AO56" s="646" t="s">
        <v>192</v>
      </c>
      <c r="AP56" s="646" t="s">
        <v>192</v>
      </c>
      <c r="AQ56" s="646" t="s">
        <v>412</v>
      </c>
      <c r="AR56" s="641"/>
      <c r="AS56" s="647">
        <f t="array" ref="AS56">SUM(COUNTIF(N56:AR56, {"◎","〇","☆","共","特","浴"}))</f>
        <v>17</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3"/>
        <v>スザナ</v>
      </c>
      <c r="C57" s="637" t="str">
        <f t="shared" si="4"/>
        <v/>
      </c>
      <c r="D57" s="200"/>
      <c r="E57" s="636" t="str">
        <f t="shared" si="5"/>
        <v>スザナ</v>
      </c>
      <c r="F57" s="637" t="str">
        <f t="shared" si="6"/>
        <v/>
      </c>
      <c r="G57" s="200"/>
      <c r="H57" s="200"/>
      <c r="I57" s="172" t="b">
        <v>0</v>
      </c>
      <c r="J57" s="618">
        <v>7.0</v>
      </c>
      <c r="K57" s="638" t="s">
        <v>485</v>
      </c>
      <c r="L57" s="639" t="s">
        <v>478</v>
      </c>
      <c r="M57" s="645"/>
      <c r="N57" s="646" t="s">
        <v>192</v>
      </c>
      <c r="O57" s="646" t="s">
        <v>192</v>
      </c>
      <c r="P57" s="646" t="s">
        <v>192</v>
      </c>
      <c r="Q57" s="646"/>
      <c r="R57" s="646"/>
      <c r="S57" s="646" t="s">
        <v>192</v>
      </c>
      <c r="T57" s="646"/>
      <c r="U57" s="646" t="s">
        <v>192</v>
      </c>
      <c r="V57" s="646" t="s">
        <v>192</v>
      </c>
      <c r="W57" s="646" t="s">
        <v>192</v>
      </c>
      <c r="X57" s="646"/>
      <c r="Y57" s="646"/>
      <c r="Z57" s="646" t="s">
        <v>192</v>
      </c>
      <c r="AA57" s="646"/>
      <c r="AB57" s="646" t="s">
        <v>192</v>
      </c>
      <c r="AC57" s="646" t="s">
        <v>192</v>
      </c>
      <c r="AD57" s="646" t="s">
        <v>192</v>
      </c>
      <c r="AE57" s="646"/>
      <c r="AF57" s="646"/>
      <c r="AG57" s="646" t="s">
        <v>192</v>
      </c>
      <c r="AH57" s="646"/>
      <c r="AI57" s="646" t="s">
        <v>192</v>
      </c>
      <c r="AJ57" s="646" t="s">
        <v>192</v>
      </c>
      <c r="AK57" s="646" t="s">
        <v>192</v>
      </c>
      <c r="AL57" s="646"/>
      <c r="AM57" s="646"/>
      <c r="AN57" s="646" t="s">
        <v>192</v>
      </c>
      <c r="AO57" s="646"/>
      <c r="AP57" s="646" t="s">
        <v>192</v>
      </c>
      <c r="AQ57" s="646" t="s">
        <v>192</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3"/>
        <v>サナム</v>
      </c>
      <c r="C58" s="637" t="str">
        <f t="shared" si="4"/>
        <v/>
      </c>
      <c r="D58" s="200"/>
      <c r="E58" s="636" t="str">
        <f t="shared" si="5"/>
        <v>サナム</v>
      </c>
      <c r="F58" s="637" t="str">
        <f t="shared" si="6"/>
        <v/>
      </c>
      <c r="G58" s="200"/>
      <c r="H58" s="200"/>
      <c r="I58" s="172" t="b">
        <v>0</v>
      </c>
      <c r="J58" s="618">
        <v>9.0</v>
      </c>
      <c r="K58" s="638" t="s">
        <v>486</v>
      </c>
      <c r="L58" s="639" t="s">
        <v>478</v>
      </c>
      <c r="M58" s="645"/>
      <c r="N58" s="646"/>
      <c r="O58" s="646"/>
      <c r="P58" s="646"/>
      <c r="Q58" s="646"/>
      <c r="R58" s="646"/>
      <c r="S58" s="646"/>
      <c r="T58" s="646" t="s">
        <v>192</v>
      </c>
      <c r="U58" s="646" t="s">
        <v>192</v>
      </c>
      <c r="V58" s="646"/>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t="s">
        <v>192</v>
      </c>
      <c r="AP58" s="646" t="s">
        <v>192</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〇</v>
      </c>
      <c r="G59" s="200"/>
      <c r="H59" s="200"/>
      <c r="I59" s="172" t="b">
        <v>0</v>
      </c>
      <c r="J59" s="618">
        <v>10.0</v>
      </c>
      <c r="K59" s="638" t="s">
        <v>487</v>
      </c>
      <c r="L59" s="639" t="s">
        <v>478</v>
      </c>
      <c r="M59" s="645"/>
      <c r="N59" s="646" t="s">
        <v>412</v>
      </c>
      <c r="O59" s="646" t="s">
        <v>412</v>
      </c>
      <c r="P59" s="646" t="s">
        <v>412</v>
      </c>
      <c r="Q59" s="646" t="s">
        <v>412</v>
      </c>
      <c r="R59" s="646" t="s">
        <v>192</v>
      </c>
      <c r="S59" s="646" t="s">
        <v>412</v>
      </c>
      <c r="T59" s="646" t="s">
        <v>412</v>
      </c>
      <c r="U59" s="646" t="s">
        <v>412</v>
      </c>
      <c r="V59" s="646" t="s">
        <v>412</v>
      </c>
      <c r="W59" s="646" t="s">
        <v>412</v>
      </c>
      <c r="X59" s="646" t="s">
        <v>412</v>
      </c>
      <c r="Y59" s="646" t="s">
        <v>192</v>
      </c>
      <c r="Z59" s="646" t="s">
        <v>412</v>
      </c>
      <c r="AA59" s="646" t="s">
        <v>412</v>
      </c>
      <c r="AB59" s="646" t="s">
        <v>412</v>
      </c>
      <c r="AC59" s="646" t="s">
        <v>412</v>
      </c>
      <c r="AD59" s="646" t="s">
        <v>412</v>
      </c>
      <c r="AE59" s="646" t="s">
        <v>412</v>
      </c>
      <c r="AF59" s="646" t="s">
        <v>192</v>
      </c>
      <c r="AG59" s="646" t="s">
        <v>412</v>
      </c>
      <c r="AH59" s="646" t="s">
        <v>412</v>
      </c>
      <c r="AI59" s="646" t="s">
        <v>412</v>
      </c>
      <c r="AJ59" s="646" t="s">
        <v>412</v>
      </c>
      <c r="AK59" s="646" t="s">
        <v>412</v>
      </c>
      <c r="AL59" s="646" t="s">
        <v>412</v>
      </c>
      <c r="AM59" s="646" t="s">
        <v>192</v>
      </c>
      <c r="AN59" s="646" t="s">
        <v>412</v>
      </c>
      <c r="AO59" s="646" t="s">
        <v>412</v>
      </c>
      <c r="AP59" s="646" t="s">
        <v>412</v>
      </c>
      <c r="AQ59" s="646" t="s">
        <v>412</v>
      </c>
      <c r="AR59" s="641"/>
      <c r="AS59" s="647">
        <f t="array" ref="AS59">SUM(COUNTIF(N59:AR59, {"◎","〇","☆","共","特","浴"}))</f>
        <v>4</v>
      </c>
      <c r="AT59" s="651"/>
      <c r="AU59" s="649"/>
      <c r="AV59" s="649"/>
      <c r="AW59" s="649"/>
      <c r="AX59" s="649"/>
      <c r="AY59" s="649"/>
      <c r="AZ59" s="649"/>
      <c r="BA59" s="649"/>
      <c r="BB59" s="652" t="s">
        <v>488</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3"/>
        <v>アスミタ</v>
      </c>
      <c r="C60" s="637" t="str">
        <f t="shared" si="4"/>
        <v>公</v>
      </c>
      <c r="D60" s="200"/>
      <c r="E60" s="636" t="str">
        <f t="shared" si="5"/>
        <v>アスミタ</v>
      </c>
      <c r="F60" s="637" t="str">
        <f t="shared" si="6"/>
        <v>公</v>
      </c>
      <c r="G60" s="200"/>
      <c r="H60" s="200"/>
      <c r="I60" s="172" t="b">
        <v>0</v>
      </c>
      <c r="J60" s="618">
        <v>6.0</v>
      </c>
      <c r="K60" s="638" t="s">
        <v>489</v>
      </c>
      <c r="L60" s="639" t="s">
        <v>478</v>
      </c>
      <c r="M60" s="645"/>
      <c r="N60" s="646" t="s">
        <v>412</v>
      </c>
      <c r="O60" s="646" t="s">
        <v>412</v>
      </c>
      <c r="P60" s="646" t="s">
        <v>192</v>
      </c>
      <c r="Q60" s="646" t="s">
        <v>412</v>
      </c>
      <c r="R60" s="646" t="s">
        <v>412</v>
      </c>
      <c r="S60" s="646" t="s">
        <v>192</v>
      </c>
      <c r="T60" s="646" t="s">
        <v>192</v>
      </c>
      <c r="U60" s="646" t="s">
        <v>192</v>
      </c>
      <c r="V60" s="646" t="s">
        <v>192</v>
      </c>
      <c r="W60" s="646" t="s">
        <v>412</v>
      </c>
      <c r="X60" s="646" t="s">
        <v>412</v>
      </c>
      <c r="Y60" s="646" t="s">
        <v>412</v>
      </c>
      <c r="Z60" s="646" t="s">
        <v>192</v>
      </c>
      <c r="AA60" s="646" t="s">
        <v>192</v>
      </c>
      <c r="AB60" s="646" t="s">
        <v>192</v>
      </c>
      <c r="AC60" s="646" t="s">
        <v>192</v>
      </c>
      <c r="AD60" s="646" t="s">
        <v>412</v>
      </c>
      <c r="AE60" s="646" t="s">
        <v>412</v>
      </c>
      <c r="AF60" s="646" t="s">
        <v>412</v>
      </c>
      <c r="AG60" s="646" t="s">
        <v>192</v>
      </c>
      <c r="AH60" s="646" t="s">
        <v>192</v>
      </c>
      <c r="AI60" s="646" t="s">
        <v>192</v>
      </c>
      <c r="AJ60" s="646" t="s">
        <v>192</v>
      </c>
      <c r="AK60" s="646" t="s">
        <v>412</v>
      </c>
      <c r="AL60" s="646" t="s">
        <v>412</v>
      </c>
      <c r="AM60" s="646" t="s">
        <v>412</v>
      </c>
      <c r="AN60" s="646" t="s">
        <v>192</v>
      </c>
      <c r="AO60" s="646" t="s">
        <v>192</v>
      </c>
      <c r="AP60" s="646" t="s">
        <v>192</v>
      </c>
      <c r="AQ60" s="646" t="s">
        <v>192</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3"/>
        <v>ソノダ</v>
      </c>
      <c r="C63" s="637" t="str">
        <f t="shared" si="4"/>
        <v>公</v>
      </c>
      <c r="D63" s="200"/>
      <c r="E63" s="636" t="str">
        <f t="shared" si="5"/>
        <v>ソノダ</v>
      </c>
      <c r="F63" s="637" t="str">
        <f t="shared" si="6"/>
        <v>共</v>
      </c>
      <c r="G63" s="200"/>
      <c r="H63" s="200"/>
      <c r="I63" s="172" t="b">
        <v>0</v>
      </c>
      <c r="J63" s="618"/>
      <c r="K63" s="638" t="s">
        <v>490</v>
      </c>
      <c r="L63" s="639" t="s">
        <v>135</v>
      </c>
      <c r="M63" s="645"/>
      <c r="N63" s="646" t="s">
        <v>412</v>
      </c>
      <c r="O63" s="646" t="s">
        <v>401</v>
      </c>
      <c r="P63" s="646" t="s">
        <v>401</v>
      </c>
      <c r="Q63" s="646" t="s">
        <v>412</v>
      </c>
      <c r="R63" s="646" t="s">
        <v>401</v>
      </c>
      <c r="S63" s="646" t="s">
        <v>401</v>
      </c>
      <c r="T63" s="646" t="s">
        <v>412</v>
      </c>
      <c r="U63" s="646" t="s">
        <v>412</v>
      </c>
      <c r="V63" s="646" t="s">
        <v>401</v>
      </c>
      <c r="W63" s="646" t="s">
        <v>401</v>
      </c>
      <c r="X63" s="646" t="s">
        <v>412</v>
      </c>
      <c r="Y63" s="646" t="s">
        <v>401</v>
      </c>
      <c r="Z63" s="646" t="s">
        <v>401</v>
      </c>
      <c r="AA63" s="646" t="s">
        <v>412</v>
      </c>
      <c r="AB63" s="646" t="s">
        <v>412</v>
      </c>
      <c r="AC63" s="646" t="s">
        <v>401</v>
      </c>
      <c r="AD63" s="646" t="s">
        <v>401</v>
      </c>
      <c r="AE63" s="646" t="s">
        <v>412</v>
      </c>
      <c r="AF63" s="646" t="s">
        <v>401</v>
      </c>
      <c r="AG63" s="646" t="s">
        <v>401</v>
      </c>
      <c r="AH63" s="646" t="s">
        <v>412</v>
      </c>
      <c r="AI63" s="646" t="s">
        <v>412</v>
      </c>
      <c r="AJ63" s="646" t="s">
        <v>401</v>
      </c>
      <c r="AK63" s="646" t="s">
        <v>401</v>
      </c>
      <c r="AL63" s="646" t="s">
        <v>412</v>
      </c>
      <c r="AM63" s="646" t="s">
        <v>401</v>
      </c>
      <c r="AN63" s="646" t="s">
        <v>401</v>
      </c>
      <c r="AO63" s="646" t="s">
        <v>412</v>
      </c>
      <c r="AP63" s="646" t="s">
        <v>412</v>
      </c>
      <c r="AQ63" s="646" t="s">
        <v>401</v>
      </c>
      <c r="AR63" s="641"/>
      <c r="AS63" s="647">
        <f t="array" ref="AS63">SUM(COUNTIF(N63:AR63, {"◎","〇","☆","共","特","浴"}))</f>
        <v>17</v>
      </c>
      <c r="AT63" s="651"/>
      <c r="AU63" s="649"/>
      <c r="AV63" s="649"/>
      <c r="AW63" s="649"/>
      <c r="AX63" s="649"/>
      <c r="AY63" s="649"/>
      <c r="AZ63" s="649"/>
      <c r="BA63" s="649"/>
      <c r="BB63" s="652" t="s">
        <v>491</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3"/>
        <v>サルマ</v>
      </c>
      <c r="C64" s="637" t="str">
        <f t="shared" si="4"/>
        <v>公</v>
      </c>
      <c r="D64" s="200"/>
      <c r="E64" s="636" t="str">
        <f t="shared" si="5"/>
        <v>サルマ</v>
      </c>
      <c r="F64" s="637" t="str">
        <f t="shared" si="6"/>
        <v>公</v>
      </c>
      <c r="G64" s="200"/>
      <c r="H64" s="200"/>
      <c r="I64" s="172" t="b">
        <v>0</v>
      </c>
      <c r="J64" s="618"/>
      <c r="K64" s="638" t="s">
        <v>492</v>
      </c>
      <c r="L64" s="639" t="s">
        <v>135</v>
      </c>
      <c r="M64" s="645"/>
      <c r="N64" s="646" t="s">
        <v>401</v>
      </c>
      <c r="O64" s="646" t="s">
        <v>412</v>
      </c>
      <c r="P64" s="646" t="s">
        <v>412</v>
      </c>
      <c r="Q64" s="646" t="s">
        <v>412</v>
      </c>
      <c r="R64" s="646" t="s">
        <v>412</v>
      </c>
      <c r="S64" s="646" t="s">
        <v>412</v>
      </c>
      <c r="T64" s="646" t="s">
        <v>401</v>
      </c>
      <c r="U64" s="646" t="s">
        <v>401</v>
      </c>
      <c r="V64" s="646" t="s">
        <v>412</v>
      </c>
      <c r="W64" s="646" t="s">
        <v>412</v>
      </c>
      <c r="X64" s="646" t="s">
        <v>412</v>
      </c>
      <c r="Y64" s="646" t="s">
        <v>412</v>
      </c>
      <c r="Z64" s="646" t="s">
        <v>412</v>
      </c>
      <c r="AA64" s="646" t="s">
        <v>401</v>
      </c>
      <c r="AB64" s="646" t="s">
        <v>401</v>
      </c>
      <c r="AC64" s="646" t="s">
        <v>412</v>
      </c>
      <c r="AD64" s="646" t="s">
        <v>412</v>
      </c>
      <c r="AE64" s="646" t="s">
        <v>412</v>
      </c>
      <c r="AF64" s="646" t="s">
        <v>412</v>
      </c>
      <c r="AG64" s="646" t="s">
        <v>412</v>
      </c>
      <c r="AH64" s="646" t="s">
        <v>401</v>
      </c>
      <c r="AI64" s="646" t="s">
        <v>401</v>
      </c>
      <c r="AJ64" s="646" t="s">
        <v>412</v>
      </c>
      <c r="AK64" s="646" t="s">
        <v>412</v>
      </c>
      <c r="AL64" s="646" t="s">
        <v>412</v>
      </c>
      <c r="AM64" s="646" t="s">
        <v>412</v>
      </c>
      <c r="AN64" s="646" t="s">
        <v>412</v>
      </c>
      <c r="AO64" s="646" t="s">
        <v>401</v>
      </c>
      <c r="AP64" s="646" t="s">
        <v>401</v>
      </c>
      <c r="AQ64" s="646" t="s">
        <v>412</v>
      </c>
      <c r="AR64" s="641"/>
      <c r="AS64" s="647">
        <f t="array" ref="AS64">SUM(COUNTIF(N64:AR64, {"◎","〇","☆","共","特","浴"}))</f>
        <v>9</v>
      </c>
      <c r="AT64" s="651"/>
      <c r="AU64" s="649"/>
      <c r="AV64" s="649"/>
      <c r="AW64" s="649"/>
      <c r="AX64" s="649"/>
      <c r="AY64" s="649"/>
      <c r="AZ64" s="649"/>
      <c r="BA64" s="649"/>
      <c r="BB64" s="652" t="s">
        <v>493</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t="s">
        <v>496</v>
      </c>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500</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46113.0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4</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t="48.0" hidden="1" customHeight="1" outlineLevel="1">
      <c r="A9" s="661"/>
      <c r="B9" s="718"/>
      <c r="C9" s="719">
        <f>D5</f>
        <v>46113</v>
      </c>
      <c r="D9" s="720" t="str">
        <f>TEXT(C9,"ddd")</f>
        <v>水</v>
      </c>
      <c r="E9" s="721"/>
      <c r="F9" s="722" t="s">
        <v>132</v>
      </c>
      <c r="G9" s="723" t="s">
        <v>518</v>
      </c>
      <c r="H9" s="724"/>
      <c r="I9" s="725">
        <v>0.625</v>
      </c>
      <c r="J9" s="724">
        <v>8.0</v>
      </c>
      <c r="K9" s="724">
        <v>2.0</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t="48.0" hidden="1" customHeight="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171</v>
      </c>
      <c r="W10" s="716"/>
      <c r="X10" s="717">
        <v>46113.0</v>
      </c>
      <c r="Y10" s="661"/>
      <c r="Z10" s="661"/>
    </row>
    <row r="11" ht="48.0" hidden="1" customHeight="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454</v>
      </c>
      <c r="W11" s="716"/>
      <c r="X11" s="717">
        <v>46143.0</v>
      </c>
      <c r="Y11" s="661"/>
      <c r="Z11" s="661"/>
    </row>
    <row r="12" ht="48.0" hidden="1" customHeight="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456</v>
      </c>
      <c r="W12" s="716"/>
      <c r="X12" s="717">
        <v>46174.0</v>
      </c>
      <c r="Y12" s="661"/>
      <c r="Z12" s="661"/>
    </row>
    <row r="13" ht="48.0" hidden="1" customHeight="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458</v>
      </c>
      <c r="W13" s="716"/>
      <c r="X13" s="717">
        <v>46204.0</v>
      </c>
      <c r="Y13" s="661"/>
      <c r="Z13" s="661"/>
    </row>
    <row r="14" ht="48.0" hidden="1" customHeight="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t="48.0" hidden="1" customHeight="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492</v>
      </c>
      <c r="W15" s="716"/>
      <c r="X15" s="717">
        <v>46266.0</v>
      </c>
      <c r="Y15" s="661"/>
      <c r="Z15" s="661"/>
    </row>
    <row r="16" ht="48.0" hidden="1" customHeight="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520</v>
      </c>
      <c r="W16" s="716"/>
      <c r="X16" s="717">
        <v>46296.0</v>
      </c>
      <c r="Y16" s="661"/>
      <c r="Z16" s="661"/>
    </row>
    <row r="17" ht="48.0" hidden="1" customHeight="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460</v>
      </c>
      <c r="W17" s="716"/>
      <c r="X17" s="717">
        <v>46327.0</v>
      </c>
      <c r="Y17" s="661"/>
      <c r="Z17" s="661"/>
    </row>
    <row r="18" ht="48.0" hidden="1" customHeight="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463</v>
      </c>
      <c r="W18" s="716"/>
      <c r="X18" s="717">
        <v>46357.0</v>
      </c>
      <c r="Y18" s="661"/>
      <c r="Z18" s="661"/>
    </row>
    <row r="19" ht="18.0" hidden="1" customHeight="1" outlineLevel="1">
      <c r="B19" s="738"/>
      <c r="C19" s="697"/>
      <c r="D19" s="697"/>
      <c r="E19" s="697"/>
      <c r="F19" s="739" t="s">
        <v>521</v>
      </c>
      <c r="G19" s="740" t="s">
        <v>522</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472</v>
      </c>
      <c r="W19" s="716"/>
      <c r="X19" s="717">
        <v>46388.0</v>
      </c>
      <c r="Y19" s="661"/>
      <c r="Z19" s="661"/>
    </row>
    <row r="20" ht="29.25" hidden="1" customHeight="1" outlineLevel="1">
      <c r="A20" s="661"/>
      <c r="B20" s="743"/>
      <c r="C20" s="744">
        <f>IF(C9="","",IF(DAY(C9+1)=1,"",C9+1))</f>
        <v>46114</v>
      </c>
      <c r="D20" s="745" t="str">
        <f>TEXT(C20,"ddd")</f>
        <v>木</v>
      </c>
      <c r="E20" s="746"/>
      <c r="F20" s="747" t="s">
        <v>142</v>
      </c>
      <c r="G20" s="748" t="s">
        <v>523</v>
      </c>
      <c r="H20" s="749"/>
      <c r="I20" s="750">
        <v>0.625</v>
      </c>
      <c r="J20" s="749">
        <v>8.0</v>
      </c>
      <c r="K20" s="749">
        <v>3.0</v>
      </c>
      <c r="L20" s="751" t="s">
        <v>112</v>
      </c>
      <c r="M20" s="751" t="s">
        <v>524</v>
      </c>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470</v>
      </c>
      <c r="W20" s="716"/>
      <c r="X20" s="717"/>
      <c r="Y20" s="661"/>
      <c r="Z20" s="661"/>
    </row>
    <row r="21" ht="29.25" hidden="1"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113</v>
      </c>
      <c r="W21" s="716"/>
      <c r="X21" s="717"/>
      <c r="Y21" s="661"/>
      <c r="Z21" s="661"/>
    </row>
    <row r="22" ht="29.25" hidden="1"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525</v>
      </c>
      <c r="W22" s="716"/>
      <c r="X22" s="717"/>
      <c r="Y22" s="661"/>
      <c r="Z22" s="661"/>
    </row>
    <row r="23" ht="29.25" hidden="1"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t="29.25" hidden="1"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477</v>
      </c>
      <c r="W24" s="661"/>
      <c r="X24" s="756"/>
      <c r="Y24" s="661"/>
      <c r="Z24" s="661"/>
    </row>
    <row r="25" ht="29.25" hidden="1"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475</v>
      </c>
      <c r="W25" s="661"/>
      <c r="X25" s="756"/>
      <c r="Y25" s="661"/>
      <c r="Z25" s="661"/>
    </row>
    <row r="26" ht="29.25" hidden="1"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474</v>
      </c>
      <c r="W26" s="661"/>
      <c r="X26" s="756"/>
      <c r="Y26" s="661"/>
      <c r="Z26" s="661"/>
    </row>
    <row r="27" ht="29.25" hidden="1"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112</v>
      </c>
      <c r="W27" s="661"/>
      <c r="X27" s="756"/>
      <c r="Y27" s="661"/>
      <c r="Z27" s="661"/>
    </row>
    <row r="28" ht="29.25" hidden="1"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480</v>
      </c>
      <c r="W28" s="661"/>
      <c r="X28" s="756"/>
      <c r="Y28" s="661"/>
      <c r="Z28" s="661"/>
    </row>
    <row r="29" ht="29.25" hidden="1"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487</v>
      </c>
      <c r="W29" s="661"/>
      <c r="X29" s="756"/>
      <c r="Y29" s="661"/>
      <c r="Z29" s="661"/>
    </row>
    <row r="30" ht="18.0" hidden="1" customHeight="1" outlineLevel="1">
      <c r="A30" s="661"/>
      <c r="B30" s="738"/>
      <c r="C30" s="697"/>
      <c r="D30" s="697"/>
      <c r="E30" s="697"/>
      <c r="F30" s="757" t="s">
        <v>521</v>
      </c>
      <c r="G30" s="758" t="s">
        <v>526</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165</v>
      </c>
      <c r="W30" s="661"/>
      <c r="X30" s="756"/>
      <c r="Y30" s="661"/>
      <c r="Z30" s="661"/>
    </row>
    <row r="31" ht="31.5" hidden="1" customHeight="1" outlineLevel="1">
      <c r="A31" s="661"/>
      <c r="B31" s="760"/>
      <c r="C31" s="761">
        <f>IF(C20="","",IF(DAY(C20+1)=1,"",C20+1))</f>
        <v>46115</v>
      </c>
      <c r="D31" s="762" t="str">
        <f>TEXT(C31,"ddd")</f>
        <v>金</v>
      </c>
      <c r="E31" s="763"/>
      <c r="F31" s="764" t="s">
        <v>132</v>
      </c>
      <c r="G31" s="765" t="s">
        <v>527</v>
      </c>
      <c r="H31" s="766"/>
      <c r="I31" s="767">
        <v>0.7083333333333334</v>
      </c>
      <c r="J31" s="766">
        <v>9.0</v>
      </c>
      <c r="K31" s="766">
        <v>1.0</v>
      </c>
      <c r="L31" s="768" t="s">
        <v>470</v>
      </c>
      <c r="M31" s="768" t="s">
        <v>528</v>
      </c>
      <c r="N31" s="764">
        <v>159.0</v>
      </c>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159</v>
      </c>
      <c r="W31" s="661"/>
      <c r="X31" s="756"/>
      <c r="Y31" s="661"/>
      <c r="Z31" s="661"/>
    </row>
    <row r="32" ht="31.5" hidden="1" customHeight="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484</v>
      </c>
      <c r="W32" s="661"/>
      <c r="X32" s="756"/>
      <c r="Y32" s="661"/>
      <c r="Z32" s="661"/>
    </row>
    <row r="33" ht="31.5" hidden="1" customHeight="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125</v>
      </c>
      <c r="W33" s="661"/>
      <c r="X33" s="756"/>
      <c r="Y33" s="661"/>
      <c r="Z33" s="661"/>
    </row>
    <row r="34" ht="31.5" hidden="1" customHeight="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529</v>
      </c>
      <c r="W34" s="661"/>
      <c r="X34" s="756"/>
      <c r="Y34" s="661"/>
      <c r="Z34" s="661"/>
    </row>
    <row r="35" ht="31.5" hidden="1" customHeight="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485</v>
      </c>
      <c r="W35" s="661"/>
      <c r="X35" s="756"/>
      <c r="Y35" s="661"/>
      <c r="Z35" s="661"/>
    </row>
    <row r="36" ht="31.5" hidden="1" customHeight="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486</v>
      </c>
      <c r="W36" s="661"/>
      <c r="X36" s="756"/>
      <c r="Y36" s="661"/>
      <c r="Z36" s="661"/>
    </row>
    <row r="37" ht="31.5" hidden="1" customHeight="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73" t="s">
        <v>489</v>
      </c>
      <c r="W37" s="661"/>
      <c r="X37" s="756"/>
      <c r="Y37" s="661"/>
      <c r="Z37" s="661"/>
    </row>
    <row r="38" ht="31.5" hidden="1" customHeight="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c r="W38" s="661"/>
      <c r="X38" s="756"/>
      <c r="Y38" s="661"/>
      <c r="Z38" s="661"/>
    </row>
    <row r="39" ht="31.5" hidden="1" customHeight="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73"/>
      <c r="W39" s="661"/>
      <c r="X39" s="756"/>
      <c r="Y39" s="661"/>
      <c r="Z39" s="661"/>
    </row>
    <row r="40" ht="31.5" hidden="1" customHeight="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3"/>
      <c r="W40" s="661"/>
      <c r="X40" s="756"/>
      <c r="Y40" s="661"/>
      <c r="Z40" s="661"/>
    </row>
    <row r="41" ht="18.0" hidden="1" customHeight="1" outlineLevel="1">
      <c r="A41" s="661"/>
      <c r="B41" s="738"/>
      <c r="C41" s="697"/>
      <c r="D41" s="697"/>
      <c r="E41" s="697"/>
      <c r="F41" s="739" t="s">
        <v>521</v>
      </c>
      <c r="G41" s="740" t="s">
        <v>530</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3"/>
      <c r="W41" s="661"/>
      <c r="X41" s="756"/>
      <c r="Y41" s="661"/>
      <c r="Z41" s="661"/>
    </row>
    <row r="42" hidden="1" outlineLevel="1">
      <c r="A42" s="661"/>
      <c r="B42" s="743"/>
      <c r="C42" s="744">
        <f>IF(C31="","",IF(DAY(C31+1)=1,"",C31+1))</f>
        <v>46116</v>
      </c>
      <c r="D42" s="745" t="str">
        <f>TEXT(C42,"ddd")</f>
        <v>土</v>
      </c>
      <c r="E42" s="746"/>
      <c r="F42" s="774" t="s">
        <v>132</v>
      </c>
      <c r="G42" s="775" t="s">
        <v>531</v>
      </c>
      <c r="H42" s="776"/>
      <c r="I42" s="777">
        <v>0.65625</v>
      </c>
      <c r="J42" s="776">
        <v>6.0</v>
      </c>
      <c r="K42" s="776">
        <v>3.0</v>
      </c>
      <c r="L42" s="754" t="s">
        <v>165</v>
      </c>
      <c r="M42" s="754" t="s">
        <v>532</v>
      </c>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73"/>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73"/>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hidden="1" customHeight="1" outlineLevel="1">
      <c r="A52" s="661"/>
      <c r="B52" s="738"/>
      <c r="C52" s="697"/>
      <c r="D52" s="697"/>
      <c r="E52" s="697"/>
      <c r="F52" s="757" t="s">
        <v>521</v>
      </c>
      <c r="G52" s="758" t="s">
        <v>533</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t="41.25" hidden="1" customHeight="1" outlineLevel="1">
      <c r="A53" s="661"/>
      <c r="B53" s="760"/>
      <c r="C53" s="761">
        <f>IF(C42="","",IF(DAY(C42+1)=1,"",C42+1))</f>
        <v>46117</v>
      </c>
      <c r="D53" s="762" t="str">
        <f>TEXT(C53,"ddd")</f>
        <v>日</v>
      </c>
      <c r="E53" s="763"/>
      <c r="F53" s="764" t="s">
        <v>132</v>
      </c>
      <c r="G53" s="765" t="s">
        <v>534</v>
      </c>
      <c r="H53" s="766"/>
      <c r="I53" s="767">
        <v>0.6875</v>
      </c>
      <c r="J53" s="766">
        <v>7.0</v>
      </c>
      <c r="K53" s="766">
        <v>3.0</v>
      </c>
      <c r="L53" s="768" t="s">
        <v>165</v>
      </c>
      <c r="M53" s="768" t="s">
        <v>535</v>
      </c>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t="41.25" hidden="1" customHeight="1" outlineLevel="1">
      <c r="A54" s="661"/>
      <c r="B54" s="729"/>
      <c r="C54" s="730"/>
      <c r="D54" s="730"/>
      <c r="E54" s="730"/>
      <c r="F54" s="730"/>
      <c r="G54" s="731"/>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t="41.25" hidden="1" customHeight="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t="41.25" hidden="1" customHeight="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t="41.25" hidden="1" customHeight="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t="41.25" hidden="1" customHeight="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t="41.25" hidden="1" customHeight="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t="41.25" hidden="1" customHeight="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t="41.25" hidden="1" customHeight="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41.25" hidden="1" customHeight="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hidden="1" customHeight="1" outlineLevel="1">
      <c r="A63" s="661"/>
      <c r="B63" s="738"/>
      <c r="C63" s="697"/>
      <c r="D63" s="697"/>
      <c r="E63" s="697"/>
      <c r="F63" s="739" t="s">
        <v>521</v>
      </c>
      <c r="G63" s="740" t="s">
        <v>536</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 r="A64" s="661"/>
      <c r="B64" s="779" t="s">
        <v>537</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t="21.0" customHeight="1" outlineLevel="1">
      <c r="A65" s="661"/>
      <c r="B65" s="743"/>
      <c r="C65" s="744">
        <f>IF(C53="","",IF(DAY(C53+1)=1,"",C53+1))</f>
        <v>46118</v>
      </c>
      <c r="D65" s="745" t="str">
        <f>TEXT(C65,"ddd")</f>
        <v>月</v>
      </c>
      <c r="E65" s="746"/>
      <c r="F65" s="774" t="s">
        <v>142</v>
      </c>
      <c r="G65" s="775" t="s">
        <v>538</v>
      </c>
      <c r="H65" s="776"/>
      <c r="I65" s="777">
        <v>0.6666666666666666</v>
      </c>
      <c r="J65" s="776" t="s">
        <v>539</v>
      </c>
      <c r="K65" s="776" t="s">
        <v>540</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t="21.0" customHeight="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t="21.0" customHeight="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t="21.0" customHeight="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t="21.0" customHeight="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t="21.0" customHeight="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t="21.0" customHeight="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t="21.0" customHeight="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t="21.0" customHeight="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t="21.0" customHeight="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customHeight="1" outlineLevel="1">
      <c r="A75" s="661"/>
      <c r="B75" s="738"/>
      <c r="C75" s="697"/>
      <c r="D75" s="697"/>
      <c r="E75" s="697"/>
      <c r="F75" s="757" t="s">
        <v>521</v>
      </c>
      <c r="G75" s="758" t="s">
        <v>541</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outlineLevel="1">
      <c r="A76" s="661"/>
      <c r="B76" s="760"/>
      <c r="C76" s="761">
        <f>IF(C65="","",IF(DAY(C65+1)=1,"",C65+1))</f>
        <v>46119</v>
      </c>
      <c r="D76" s="762" t="str">
        <f>TEXT(C76,"ddd")</f>
        <v>火</v>
      </c>
      <c r="E76" s="763"/>
      <c r="F76" s="764" t="s">
        <v>142</v>
      </c>
      <c r="G76" s="765" t="s">
        <v>542</v>
      </c>
      <c r="H76" s="766"/>
      <c r="I76" s="766" t="s">
        <v>543</v>
      </c>
      <c r="J76" s="766" t="s">
        <v>539</v>
      </c>
      <c r="K76" s="766" t="s">
        <v>540</v>
      </c>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outlineLevel="1">
      <c r="A86" s="661"/>
      <c r="B86" s="738"/>
      <c r="C86" s="697"/>
      <c r="D86" s="697"/>
      <c r="E86" s="697"/>
      <c r="F86" s="739" t="s">
        <v>521</v>
      </c>
      <c r="G86" s="740" t="s">
        <v>544</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54.75" customHeight="1" outlineLevel="1">
      <c r="A87" s="661"/>
      <c r="B87" s="743"/>
      <c r="C87" s="744">
        <f>IF(C76="","",IF(DAY(C76+1)=1,"",C76+1))</f>
        <v>46120</v>
      </c>
      <c r="D87" s="745" t="str">
        <f>TEXT(C87,"ddd")</f>
        <v>水</v>
      </c>
      <c r="E87" s="746"/>
      <c r="F87" s="774" t="s">
        <v>132</v>
      </c>
      <c r="G87" s="775" t="s">
        <v>545</v>
      </c>
      <c r="H87" s="776"/>
      <c r="I87" s="777">
        <v>0.6666666666666666</v>
      </c>
      <c r="J87" s="776">
        <v>9.0</v>
      </c>
      <c r="K87" s="776">
        <v>3.0</v>
      </c>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t="54.75"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54.75"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54.75"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54.75"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54.75"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54.75"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54.75"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54.75"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54.75"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18.0" customHeight="1" outlineLevel="1">
      <c r="A97" s="661"/>
      <c r="B97" s="738"/>
      <c r="C97" s="697"/>
      <c r="D97" s="697"/>
      <c r="E97" s="697"/>
      <c r="F97" s="757" t="s">
        <v>521</v>
      </c>
      <c r="G97" s="758" t="s">
        <v>546</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t="61.5" customHeight="1" outlineLevel="1">
      <c r="A98" s="661"/>
      <c r="B98" s="760"/>
      <c r="C98" s="761">
        <f>IF(C87="","",IF(DAY(C87+1)=1,"",C87+1))</f>
        <v>46121</v>
      </c>
      <c r="D98" s="762" t="str">
        <f>TEXT(C98,"ddd")</f>
        <v>木</v>
      </c>
      <c r="E98" s="763"/>
      <c r="F98" s="764" t="s">
        <v>132</v>
      </c>
      <c r="G98" s="765" t="s">
        <v>547</v>
      </c>
      <c r="H98" s="766"/>
      <c r="I98" s="767">
        <v>0.6666666666666666</v>
      </c>
      <c r="J98" s="766">
        <v>7.0</v>
      </c>
      <c r="K98" s="766">
        <v>3.0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t="61.5" customHeight="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t="61.5" customHeight="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t="61.5" customHeight="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t="61.5" customHeight="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t="61.5" customHeight="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t="61.5" customHeight="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t="61.5" customHeight="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t="61.5" customHeight="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t="61.5" customHeight="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customHeight="1" outlineLevel="1">
      <c r="A108" s="661"/>
      <c r="B108" s="738"/>
      <c r="C108" s="697"/>
      <c r="D108" s="697"/>
      <c r="E108" s="697"/>
      <c r="F108" s="739" t="s">
        <v>521</v>
      </c>
      <c r="G108" s="740" t="s">
        <v>548</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outlineLevel="1">
      <c r="A109" s="661"/>
      <c r="B109" s="743"/>
      <c r="C109" s="744">
        <f>IF(C98="","",IF(DAY(C98+1)=1,"",C98+1))</f>
        <v>46122</v>
      </c>
      <c r="D109" s="745" t="str">
        <f>TEXT(C109,"ddd")</f>
        <v>金</v>
      </c>
      <c r="E109" s="746"/>
      <c r="F109" s="774"/>
      <c r="G109" s="775" t="s">
        <v>549</v>
      </c>
      <c r="H109" s="776"/>
      <c r="I109" s="777">
        <v>0.6458333333333334</v>
      </c>
      <c r="J109" s="776">
        <v>8.0</v>
      </c>
      <c r="K109" s="776">
        <v>3.0</v>
      </c>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outlineLevel="1">
      <c r="A119" s="661"/>
      <c r="B119" s="738"/>
      <c r="C119" s="697"/>
      <c r="D119" s="697"/>
      <c r="E119" s="697"/>
      <c r="F119" s="757" t="s">
        <v>521</v>
      </c>
      <c r="G119" s="758"/>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550</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idden="1" outlineLevel="1">
      <c r="A121" s="661"/>
      <c r="B121" s="760"/>
      <c r="C121" s="761">
        <f>IF(C109="","",IF(DAY(C109+1)=1,"",C109+1))</f>
        <v>46123</v>
      </c>
      <c r="D121" s="762" t="str">
        <f>TEXT(C121,"ddd")</f>
        <v>土</v>
      </c>
      <c r="E121" s="763"/>
      <c r="F121" s="764" t="s">
        <v>551</v>
      </c>
      <c r="G121" s="765" t="s">
        <v>552</v>
      </c>
      <c r="H121" s="766"/>
      <c r="I121" s="767">
        <v>0.0</v>
      </c>
      <c r="J121" s="762"/>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idden="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idden="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idden="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idden="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idden="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idden="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idden="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idden="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idden="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idden="1" outlineLevel="1">
      <c r="A131" s="661"/>
      <c r="B131" s="738"/>
      <c r="C131" s="697"/>
      <c r="D131" s="697"/>
      <c r="E131" s="697"/>
      <c r="F131" s="739" t="s">
        <v>521</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idden="1" outlineLevel="1">
      <c r="A132" s="661"/>
      <c r="B132" s="743"/>
      <c r="C132" s="744">
        <f>IF(C121="","",IF(DAY(C121+1)=1,"",C121+1))</f>
        <v>46124</v>
      </c>
      <c r="D132" s="745" t="str">
        <f>TEXT(C132,"ddd")</f>
        <v>日</v>
      </c>
      <c r="E132" s="746"/>
      <c r="F132" s="774" t="s">
        <v>551</v>
      </c>
      <c r="G132" s="775" t="s">
        <v>552</v>
      </c>
      <c r="H132" s="776"/>
      <c r="I132" s="777">
        <v>0.0</v>
      </c>
      <c r="J132" s="745"/>
      <c r="K132" s="745"/>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idden="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idden="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idden="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idden="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idden="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idden="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idden="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idden="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idden="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idden="1" outlineLevel="1">
      <c r="A142" s="661"/>
      <c r="B142" s="738"/>
      <c r="C142" s="697"/>
      <c r="D142" s="697"/>
      <c r="E142" s="697"/>
      <c r="F142" s="757" t="s">
        <v>521</v>
      </c>
      <c r="G142" s="758"/>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idden="1" outlineLevel="1">
      <c r="A143" s="661"/>
      <c r="B143" s="760"/>
      <c r="C143" s="761">
        <f>IF(C132="","",IF(DAY(C132+1)=1,"",C132+1))</f>
        <v>46125</v>
      </c>
      <c r="D143" s="762" t="str">
        <f>TEXT(C143,"ddd")</f>
        <v>月</v>
      </c>
      <c r="E143" s="763"/>
      <c r="F143" s="764" t="s">
        <v>551</v>
      </c>
      <c r="G143" s="765" t="s">
        <v>552</v>
      </c>
      <c r="H143" s="766"/>
      <c r="I143" s="767">
        <v>0.0</v>
      </c>
      <c r="J143" s="762"/>
      <c r="K143" s="762"/>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idden="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idden="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idden="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idden="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idden="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idden="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idden="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idden="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idden="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idden="1" outlineLevel="1">
      <c r="A153" s="661"/>
      <c r="B153" s="738"/>
      <c r="C153" s="697"/>
      <c r="D153" s="697"/>
      <c r="E153" s="697"/>
      <c r="F153" s="739" t="s">
        <v>521</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idden="1" outlineLevel="1">
      <c r="A154" s="661"/>
      <c r="B154" s="743"/>
      <c r="C154" s="744">
        <f>IF(C143="","",IF(DAY(C143+1)=1,"",C143+1))</f>
        <v>46126</v>
      </c>
      <c r="D154" s="745" t="str">
        <f>TEXT(C154,"ddd")</f>
        <v>火</v>
      </c>
      <c r="E154" s="746"/>
      <c r="F154" s="774" t="s">
        <v>551</v>
      </c>
      <c r="G154" s="775" t="s">
        <v>552</v>
      </c>
      <c r="H154" s="776"/>
      <c r="I154" s="777">
        <v>0.0</v>
      </c>
      <c r="J154" s="745"/>
      <c r="K154" s="745"/>
      <c r="L154" s="754"/>
      <c r="M154" s="754"/>
      <c r="N154" s="774"/>
      <c r="O154" s="778"/>
      <c r="P154" s="770"/>
      <c r="Q154" s="771"/>
      <c r="R154" s="661"/>
      <c r="S154" s="228" t="str">
        <f t="array" ref="S154">IFERROR(INDEX('💻シート作成'!$D$6:$D1001, MATCH(T154, '💻シート作成'!$E$6:$E1001, 0)), "")</f>
        <v/>
      </c>
      <c r="T154" s="184"/>
      <c r="U154" s="664"/>
      <c r="V154" s="773"/>
      <c r="W154" s="661"/>
      <c r="X154" s="756"/>
      <c r="Y154" s="661"/>
      <c r="Z154" s="661"/>
    </row>
    <row r="155" hidden="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idden="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idden="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idden="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idden="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idden="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idden="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idden="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idden="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idden="1" outlineLevel="1">
      <c r="A164" s="661"/>
      <c r="B164" s="738"/>
      <c r="C164" s="697"/>
      <c r="D164" s="697"/>
      <c r="E164" s="697"/>
      <c r="F164" s="757" t="s">
        <v>521</v>
      </c>
      <c r="G164" s="758"/>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idden="1" outlineLevel="1">
      <c r="A165" s="661"/>
      <c r="B165" s="760"/>
      <c r="C165" s="761">
        <f>IF(C154="","",IF(DAY(C154+1)=1,"",C154+1))</f>
        <v>46127</v>
      </c>
      <c r="D165" s="762" t="str">
        <f>TEXT(C165,"ddd")</f>
        <v>水</v>
      </c>
      <c r="E165" s="763"/>
      <c r="F165" s="764" t="s">
        <v>551</v>
      </c>
      <c r="G165" s="765" t="s">
        <v>552</v>
      </c>
      <c r="H165" s="766"/>
      <c r="I165" s="767">
        <v>0.0</v>
      </c>
      <c r="J165" s="762"/>
      <c r="K165" s="762"/>
      <c r="L165" s="768"/>
      <c r="M165" s="768"/>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idden="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idden="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idden="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idden="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idden="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idden="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idden="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idden="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idden="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idden="1" outlineLevel="1">
      <c r="A175" s="661"/>
      <c r="B175" s="738"/>
      <c r="C175" s="697"/>
      <c r="D175" s="697"/>
      <c r="E175" s="697"/>
      <c r="F175" s="739" t="s">
        <v>521</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553</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idden="1" outlineLevel="1">
      <c r="A177" s="661"/>
      <c r="B177" s="743"/>
      <c r="C177" s="744">
        <f>IF(C165="","",IF(DAY(C165+1)=1,"",C165+1))</f>
        <v>46128</v>
      </c>
      <c r="D177" s="745" t="str">
        <f>TEXT(C177,"ddd")</f>
        <v>木</v>
      </c>
      <c r="E177" s="746"/>
      <c r="F177" s="774" t="s">
        <v>551</v>
      </c>
      <c r="G177" s="775" t="s">
        <v>552</v>
      </c>
      <c r="H177" s="776"/>
      <c r="I177" s="777">
        <v>0.0</v>
      </c>
      <c r="J177" s="745"/>
      <c r="K177" s="745"/>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idden="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idden="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idden="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idden="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idden="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idden="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idden="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idden="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idden="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idden="1" outlineLevel="1">
      <c r="A187" s="661"/>
      <c r="B187" s="738"/>
      <c r="C187" s="697"/>
      <c r="D187" s="697"/>
      <c r="E187" s="697"/>
      <c r="F187" s="757" t="s">
        <v>521</v>
      </c>
      <c r="G187" s="758"/>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46129</v>
      </c>
      <c r="D188" s="762" t="str">
        <f>TEXT(C188,"ddd")</f>
        <v>金</v>
      </c>
      <c r="E188" s="763"/>
      <c r="F188" s="764" t="s">
        <v>551</v>
      </c>
      <c r="G188" s="765" t="s">
        <v>552</v>
      </c>
      <c r="H188" s="766"/>
      <c r="I188" s="767">
        <v>0.0</v>
      </c>
      <c r="J188" s="762"/>
      <c r="K188" s="762"/>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idden="1" outlineLevel="1">
      <c r="A198" s="661"/>
      <c r="B198" s="738"/>
      <c r="C198" s="697"/>
      <c r="D198" s="697"/>
      <c r="E198" s="697"/>
      <c r="F198" s="739" t="s">
        <v>521</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idden="1" outlineLevel="1">
      <c r="A199" s="661"/>
      <c r="B199" s="743"/>
      <c r="C199" s="744">
        <f>IF(C188="","",IF(DAY(C188+1)=1,"",C188+1))</f>
        <v>46130</v>
      </c>
      <c r="D199" s="745" t="str">
        <f>TEXT(C199,"ddd")</f>
        <v>土</v>
      </c>
      <c r="E199" s="746"/>
      <c r="F199" s="774" t="s">
        <v>551</v>
      </c>
      <c r="G199" s="775" t="s">
        <v>552</v>
      </c>
      <c r="H199" s="776"/>
      <c r="I199" s="777">
        <v>0.0</v>
      </c>
      <c r="J199" s="745"/>
      <c r="K199" s="745"/>
      <c r="L199" s="754"/>
      <c r="M199" s="754"/>
      <c r="N199" s="774"/>
      <c r="O199" s="778"/>
      <c r="P199" s="770"/>
      <c r="Q199" s="771"/>
      <c r="R199" s="661"/>
      <c r="S199" s="228" t="str">
        <f t="array" ref="S199">IFERROR(INDEX('💻シート作成'!$D$6:$D1001, MATCH(T199, '💻シート作成'!$E$6:$E1001, 0)), "")</f>
        <v/>
      </c>
      <c r="T199" s="184"/>
      <c r="U199" s="664"/>
      <c r="V199" s="773"/>
      <c r="W199" s="661"/>
      <c r="X199" s="756"/>
      <c r="Y199" s="661"/>
      <c r="Z199" s="661"/>
    </row>
    <row r="200" hidden="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idden="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idden="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idden="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idden="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idden="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idden="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idden="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idden="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idden="1" outlineLevel="1">
      <c r="A209" s="661"/>
      <c r="B209" s="738"/>
      <c r="C209" s="697"/>
      <c r="D209" s="697"/>
      <c r="E209" s="697"/>
      <c r="F209" s="757" t="s">
        <v>521</v>
      </c>
      <c r="G209" s="758"/>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idden="1" outlineLevel="1">
      <c r="A210" s="661"/>
      <c r="B210" s="760"/>
      <c r="C210" s="761">
        <f>IF(C199="","",IF(DAY(C199+1)=1,"",C199+1))</f>
        <v>46131</v>
      </c>
      <c r="D210" s="762" t="str">
        <f>TEXT(C210,"ddd")</f>
        <v>日</v>
      </c>
      <c r="E210" s="763"/>
      <c r="F210" s="764" t="s">
        <v>551</v>
      </c>
      <c r="G210" s="765" t="s">
        <v>552</v>
      </c>
      <c r="H210" s="766"/>
      <c r="I210" s="767">
        <v>0.0</v>
      </c>
      <c r="J210" s="762"/>
      <c r="K210" s="762"/>
      <c r="L210" s="768"/>
      <c r="M210" s="768"/>
      <c r="N210" s="764"/>
      <c r="O210" s="769"/>
      <c r="P210" s="770"/>
      <c r="Q210" s="771"/>
      <c r="R210" s="661"/>
      <c r="S210" s="228" t="str">
        <f t="array" ref="S210">IFERROR(INDEX('💻シート作成'!$D$6:$D1001, MATCH(T210, '💻シート作成'!$E$6:$E1001, 0)), "")</f>
        <v/>
      </c>
      <c r="T210" s="184"/>
      <c r="U210" s="664"/>
      <c r="V210" s="773"/>
      <c r="W210" s="661"/>
      <c r="X210" s="756"/>
      <c r="Y210" s="661"/>
      <c r="Z210" s="661"/>
    </row>
    <row r="211" hidden="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idden="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idden="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idden="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idden="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idden="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idden="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idden="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idden="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idden="1" outlineLevel="1">
      <c r="A220" s="661"/>
      <c r="B220" s="738"/>
      <c r="C220" s="697"/>
      <c r="D220" s="697"/>
      <c r="E220" s="697"/>
      <c r="F220" s="739" t="s">
        <v>521</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idden="1" outlineLevel="1">
      <c r="A221" s="661"/>
      <c r="B221" s="743"/>
      <c r="C221" s="744">
        <f>IF(C210="","",IF(DAY(C210+1)=1,"",C210+1))</f>
        <v>46132</v>
      </c>
      <c r="D221" s="745" t="str">
        <f>TEXT(C221,"ddd")</f>
        <v>月</v>
      </c>
      <c r="E221" s="746"/>
      <c r="F221" s="774" t="s">
        <v>551</v>
      </c>
      <c r="G221" s="775" t="s">
        <v>552</v>
      </c>
      <c r="H221" s="776"/>
      <c r="I221" s="777">
        <v>0.0</v>
      </c>
      <c r="J221" s="745"/>
      <c r="K221" s="745"/>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idden="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idden="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idden="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idden="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idden="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idden="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idden="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idden="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idden="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idden="1" outlineLevel="1">
      <c r="A231" s="661"/>
      <c r="B231" s="738"/>
      <c r="C231" s="697"/>
      <c r="D231" s="697"/>
      <c r="E231" s="697"/>
      <c r="F231" s="757" t="s">
        <v>521</v>
      </c>
      <c r="G231" s="758"/>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554</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idden="1" outlineLevel="1">
      <c r="A233" s="661"/>
      <c r="B233" s="760"/>
      <c r="C233" s="761">
        <f>IF(C221="","",IF(DAY(C221+1)=1,"",C221+1))</f>
        <v>46133</v>
      </c>
      <c r="D233" s="762" t="str">
        <f>TEXT(C233,"ddd")</f>
        <v>火</v>
      </c>
      <c r="E233" s="763"/>
      <c r="F233" s="764" t="s">
        <v>551</v>
      </c>
      <c r="G233" s="765" t="s">
        <v>552</v>
      </c>
      <c r="H233" s="766"/>
      <c r="I233" s="767">
        <v>0.0</v>
      </c>
      <c r="J233" s="762"/>
      <c r="K233" s="762"/>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idden="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idden="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idden="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idden="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idden="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idden="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idden="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idden="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idden="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idden="1" outlineLevel="1">
      <c r="A243" s="661"/>
      <c r="B243" s="738"/>
      <c r="C243" s="697"/>
      <c r="D243" s="697"/>
      <c r="E243" s="697"/>
      <c r="F243" s="739" t="s">
        <v>521</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idden="1" outlineLevel="1">
      <c r="A244" s="661"/>
      <c r="B244" s="743"/>
      <c r="C244" s="744">
        <f>IF(C233="","",IF(DAY(C233+1)=1,"",C233+1))</f>
        <v>46134</v>
      </c>
      <c r="D244" s="745" t="str">
        <f>TEXT(C244,"ddd")</f>
        <v>水</v>
      </c>
      <c r="E244" s="746"/>
      <c r="F244" s="774" t="s">
        <v>551</v>
      </c>
      <c r="G244" s="775" t="s">
        <v>552</v>
      </c>
      <c r="H244" s="776"/>
      <c r="I244" s="777">
        <v>0.0</v>
      </c>
      <c r="J244" s="745"/>
      <c r="K244" s="745"/>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idden="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idden="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idden="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idden="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idden="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idden="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idden="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idden="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idden="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idden="1" outlineLevel="1">
      <c r="A254" s="661"/>
      <c r="B254" s="738"/>
      <c r="C254" s="697"/>
      <c r="D254" s="697"/>
      <c r="E254" s="697"/>
      <c r="F254" s="757" t="s">
        <v>521</v>
      </c>
      <c r="G254" s="758"/>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idden="1" outlineLevel="1">
      <c r="A255" s="661"/>
      <c r="B255" s="760"/>
      <c r="C255" s="761">
        <f>IF(C244="","",IF(DAY(C244+1)=1,"",C244+1))</f>
        <v>46135</v>
      </c>
      <c r="D255" s="762" t="str">
        <f>TEXT(C255,"ddd")</f>
        <v>木</v>
      </c>
      <c r="E255" s="763"/>
      <c r="F255" s="764" t="s">
        <v>551</v>
      </c>
      <c r="G255" s="765" t="s">
        <v>552</v>
      </c>
      <c r="H255" s="766"/>
      <c r="I255" s="767">
        <v>0.0</v>
      </c>
      <c r="J255" s="762"/>
      <c r="K255" s="762"/>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idden="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idden="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idden="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idden="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idden="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idden="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idden="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idden="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idden="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idden="1" outlineLevel="1">
      <c r="A265" s="661"/>
      <c r="B265" s="738"/>
      <c r="C265" s="697"/>
      <c r="D265" s="697"/>
      <c r="E265" s="697"/>
      <c r="F265" s="739" t="s">
        <v>521</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46136</v>
      </c>
      <c r="D266" s="745" t="str">
        <f>TEXT(C266,"ddd")</f>
        <v>金</v>
      </c>
      <c r="E266" s="746"/>
      <c r="F266" s="774" t="s">
        <v>551</v>
      </c>
      <c r="G266" s="775" t="s">
        <v>552</v>
      </c>
      <c r="H266" s="776"/>
      <c r="I266" s="777">
        <v>0.0</v>
      </c>
      <c r="J266" s="745"/>
      <c r="K266" s="745"/>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idden="1" outlineLevel="1">
      <c r="A276" s="661"/>
      <c r="B276" s="738"/>
      <c r="C276" s="697"/>
      <c r="D276" s="697"/>
      <c r="E276" s="697"/>
      <c r="F276" s="757" t="s">
        <v>521</v>
      </c>
      <c r="G276" s="758"/>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idden="1" outlineLevel="1">
      <c r="A277" s="661"/>
      <c r="B277" s="760"/>
      <c r="C277" s="761">
        <f>IF(C266="","",IF(DAY(C266+1)=1,"",C266+1))</f>
        <v>46137</v>
      </c>
      <c r="D277" s="762" t="str">
        <f>TEXT(C277,"ddd")</f>
        <v>土</v>
      </c>
      <c r="E277" s="763"/>
      <c r="F277" s="764" t="s">
        <v>551</v>
      </c>
      <c r="G277" s="765" t="s">
        <v>552</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idden="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idden="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idden="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idden="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idden="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idden="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idden="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idden="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idden="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idden="1" outlineLevel="1">
      <c r="A287" s="661"/>
      <c r="B287" s="738"/>
      <c r="C287" s="697"/>
      <c r="D287" s="697"/>
      <c r="E287" s="697"/>
      <c r="F287" s="739" t="s">
        <v>521</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ollapsed="1">
      <c r="A288" s="661"/>
      <c r="B288" s="779" t="s">
        <v>555</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idden="1" outlineLevel="1">
      <c r="A289" s="661"/>
      <c r="B289" s="743"/>
      <c r="C289" s="744">
        <f>IF(C277="","",IF(DAY(C277+1)=1,"",C277+1))</f>
        <v>46138</v>
      </c>
      <c r="D289" s="745" t="str">
        <f>TEXT(C289,"ddd")</f>
        <v>日</v>
      </c>
      <c r="E289" s="746"/>
      <c r="F289" s="774" t="s">
        <v>551</v>
      </c>
      <c r="G289" s="775" t="s">
        <v>552</v>
      </c>
      <c r="H289" s="776"/>
      <c r="I289" s="777">
        <v>0.0</v>
      </c>
      <c r="J289" s="745"/>
      <c r="K289" s="745"/>
      <c r="L289" s="754"/>
      <c r="M289" s="754"/>
      <c r="N289" s="774"/>
      <c r="O289" s="778"/>
      <c r="P289" s="770"/>
      <c r="Q289" s="771"/>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7" t="s">
        <v>521</v>
      </c>
      <c r="G299" s="758"/>
      <c r="H299" s="741"/>
      <c r="I299" s="741"/>
      <c r="J299" s="741"/>
      <c r="K299" s="741"/>
      <c r="L299" s="758"/>
      <c r="M299" s="758"/>
      <c r="N299" s="758"/>
      <c r="O299" s="758"/>
      <c r="P299" s="758"/>
      <c r="Q299" s="759"/>
      <c r="R299" s="661"/>
      <c r="S299" s="661"/>
      <c r="T299" s="661"/>
      <c r="U299" s="664"/>
      <c r="V299" s="665"/>
      <c r="W299" s="661"/>
      <c r="X299" s="661"/>
      <c r="Y299" s="661"/>
      <c r="Z299" s="661"/>
    </row>
    <row r="300" hidden="1" outlineLevel="1">
      <c r="A300" s="661"/>
      <c r="B300" s="760"/>
      <c r="C300" s="761">
        <f>IF(C289="","",IF(DAY(C289+1)=1,"",C289+1))</f>
        <v>46139</v>
      </c>
      <c r="D300" s="762" t="str">
        <f>TEXT(C300,"ddd")</f>
        <v>月</v>
      </c>
      <c r="E300" s="763"/>
      <c r="F300" s="764" t="s">
        <v>551</v>
      </c>
      <c r="G300" s="765" t="s">
        <v>552</v>
      </c>
      <c r="H300" s="766"/>
      <c r="I300" s="767">
        <v>0.0</v>
      </c>
      <c r="J300" s="762"/>
      <c r="K300" s="762"/>
      <c r="L300" s="768"/>
      <c r="M300" s="768"/>
      <c r="N300" s="764"/>
      <c r="O300" s="769"/>
      <c r="P300" s="770"/>
      <c r="Q300" s="771"/>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521</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46140</v>
      </c>
      <c r="D311" s="745" t="str">
        <f>TEXT(C311,"ddd")</f>
        <v>火</v>
      </c>
      <c r="E311" s="746"/>
      <c r="F311" s="774" t="s">
        <v>551</v>
      </c>
      <c r="G311" s="775" t="s">
        <v>552</v>
      </c>
      <c r="H311" s="776"/>
      <c r="I311" s="777">
        <v>0.0</v>
      </c>
      <c r="J311" s="745"/>
      <c r="K311" s="745"/>
      <c r="L311" s="754"/>
      <c r="M311" s="754"/>
      <c r="N311" s="774"/>
      <c r="O311" s="778"/>
      <c r="P311" s="770"/>
      <c r="Q311" s="771"/>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7" t="s">
        <v>521</v>
      </c>
      <c r="G321" s="758"/>
      <c r="H321" s="741"/>
      <c r="I321" s="741"/>
      <c r="J321" s="741"/>
      <c r="K321" s="741"/>
      <c r="L321" s="758"/>
      <c r="M321" s="758"/>
      <c r="N321" s="758"/>
      <c r="O321" s="758"/>
      <c r="P321" s="758"/>
      <c r="Q321" s="759"/>
      <c r="R321" s="661"/>
      <c r="S321" s="661"/>
      <c r="T321" s="661"/>
      <c r="U321" s="664"/>
      <c r="V321" s="665"/>
      <c r="W321" s="661"/>
      <c r="X321" s="661"/>
      <c r="Y321" s="661"/>
      <c r="Z321" s="661"/>
    </row>
    <row r="322" hidden="1" outlineLevel="1">
      <c r="A322" s="661"/>
      <c r="B322" s="760"/>
      <c r="C322" s="761">
        <f>IF(C311="","",IF(DAY(C311+1)=1,"",C311+1))</f>
        <v>46141</v>
      </c>
      <c r="D322" s="762" t="str">
        <f>TEXT(C322,"ddd")</f>
        <v>水</v>
      </c>
      <c r="E322" s="763"/>
      <c r="F322" s="764" t="s">
        <v>551</v>
      </c>
      <c r="G322" s="765" t="s">
        <v>552</v>
      </c>
      <c r="H322" s="766"/>
      <c r="I322" s="767">
        <v>0.0</v>
      </c>
      <c r="J322" s="762"/>
      <c r="K322" s="762"/>
      <c r="L322" s="768"/>
      <c r="M322" s="768"/>
      <c r="N322" s="764"/>
      <c r="O322" s="769"/>
      <c r="P322" s="770"/>
      <c r="Q322" s="771"/>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f>IF(C322="","",IF(DAY(C322+1)=1,"",C322+1))</f>
        <v>46142</v>
      </c>
      <c r="D333" s="745" t="str">
        <f>TEXT(C333,"ddd")</f>
        <v>木</v>
      </c>
      <c r="E333" s="746"/>
      <c r="F333" s="774" t="s">
        <v>551</v>
      </c>
      <c r="G333" s="775" t="s">
        <v>552</v>
      </c>
      <c r="H333" s="776"/>
      <c r="I333" s="777">
        <v>0.0</v>
      </c>
      <c r="J333" s="745"/>
      <c r="K333" s="745"/>
      <c r="L333" s="754"/>
      <c r="M333" s="754"/>
      <c r="N333" s="774"/>
      <c r="O333" s="778"/>
      <c r="P333" s="770"/>
      <c r="Q333" s="771"/>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hidden="1" outlineLevel="1">
      <c r="A344" s="661"/>
      <c r="B344" s="760"/>
      <c r="C344" s="761" t="str">
        <f>IF(C333="","",IF(DAY(C333+1)=1,"",C333+1))</f>
        <v/>
      </c>
      <c r="D344" s="762" t="str">
        <f>TEXT(C344,"ddd")</f>
        <v/>
      </c>
      <c r="E344" s="763"/>
      <c r="F344" s="764" t="s">
        <v>551</v>
      </c>
      <c r="G344" s="765" t="s">
        <v>552</v>
      </c>
      <c r="H344" s="766"/>
      <c r="I344" s="767">
        <v>0.0</v>
      </c>
      <c r="J344" s="762"/>
      <c r="K344" s="762"/>
      <c r="L344" s="768"/>
      <c r="M344" s="768"/>
      <c r="N344" s="764"/>
      <c r="O344" s="769"/>
      <c r="P344" s="770"/>
      <c r="Q344" s="771"/>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idden="1"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556</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557</v>
      </c>
      <c r="C4" s="805"/>
      <c r="D4" s="806" t="s">
        <v>558</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34</v>
      </c>
      <c r="C5" s="808" t="s">
        <v>84</v>
      </c>
      <c r="D5" s="809"/>
      <c r="E5" s="810" t="b">
        <v>0</v>
      </c>
      <c r="F5" s="808" t="s">
        <v>559</v>
      </c>
      <c r="G5" s="811"/>
      <c r="H5" s="812" t="b">
        <v>0</v>
      </c>
      <c r="J5" s="813"/>
      <c r="K5" s="797"/>
      <c r="L5" s="814" t="s">
        <v>560</v>
      </c>
      <c r="T5" s="813"/>
      <c r="U5" s="815" t="s">
        <v>561</v>
      </c>
      <c r="AC5" s="798"/>
      <c r="AD5" s="816" t="s">
        <v>96</v>
      </c>
      <c r="AE5" s="816" t="s">
        <v>562</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563</v>
      </c>
      <c r="M7" s="236"/>
      <c r="N7" s="236"/>
      <c r="O7" s="236"/>
      <c r="P7" s="236"/>
      <c r="Q7" s="236"/>
      <c r="R7" s="236"/>
      <c r="S7" s="113"/>
      <c r="T7" s="820" t="s">
        <v>564</v>
      </c>
      <c r="U7" s="821" t="s">
        <v>565</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566</v>
      </c>
      <c r="C8" s="823"/>
      <c r="D8" s="824" t="s">
        <v>51</v>
      </c>
      <c r="E8" s="825" t="str">
        <f>IFERROR(__xludf.DUMMYFUNCTION("IFERROR(INDEX(FILTER($AE$6:$AE$200, $AD$6:$AD$200=$B$5, REGEXMATCH($AE$6:$AE$200, ""集計"")), 1), """")
"),"①R8_4集計")</f>
        <v>①R8_4集計</v>
      </c>
      <c r="F8" s="526"/>
      <c r="G8" s="223"/>
      <c r="H8" s="223"/>
      <c r="I8" s="200"/>
      <c r="J8" s="813"/>
      <c r="K8" s="797"/>
      <c r="L8" s="826"/>
      <c r="M8" s="247"/>
      <c r="N8" s="247"/>
      <c r="O8" s="247"/>
      <c r="P8" s="247"/>
      <c r="Q8" s="247"/>
      <c r="R8" s="247"/>
      <c r="S8" s="250"/>
      <c r="U8" s="826"/>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0.2927564376</v>
      </c>
      <c r="D10" s="832">
        <f t="array" ref="D10">INDIRECT($E$8 &amp; "!E8")</f>
        <v>0.5426185594</v>
      </c>
      <c r="E10" s="832">
        <f t="array" ref="E10">INDIRECT($E$8 &amp; "!G8")</f>
        <v>0.8811428571</v>
      </c>
      <c r="F10" s="833">
        <f t="array" ref="F10">INDIRECT($E$8 &amp; "!H8")</f>
        <v>1753305</v>
      </c>
      <c r="G10" s="833">
        <f t="array" ref="G10">INDIRECT($E$8 &amp; "!K8")</f>
        <v>0</v>
      </c>
      <c r="H10" s="833">
        <f t="array" ref="H10">INDIRECT($E$8 &amp; "!M8")</f>
        <v>513291.3258</v>
      </c>
      <c r="I10" s="832">
        <f t="array" ref="I10">INDIRECT($E$8 &amp; "!AT7")</f>
        <v>0</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0.2695687853</v>
      </c>
      <c r="D11" s="836"/>
      <c r="E11" s="837"/>
      <c r="F11" s="838">
        <f t="array" ref="F11">INDIRECT($E$8 &amp; "!H7")</f>
        <v>4650112.5</v>
      </c>
      <c r="G11" s="836"/>
      <c r="H11" s="839">
        <f t="array" ref="H11">INDIRECT($E$8 &amp; "!M7")</f>
        <v>1253525.178</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567</v>
      </c>
      <c r="C13" s="843"/>
      <c r="D13" s="844" t="s">
        <v>51</v>
      </c>
      <c r="E13" s="845" t="s">
        <v>568</v>
      </c>
      <c r="F13" s="200"/>
      <c r="G13" s="200"/>
      <c r="H13" s="846" t="s">
        <v>35</v>
      </c>
      <c r="I13" s="847">
        <f t="array" ref="I13">xlookup($B$5,'🔵クレーム'!$C$10:$C$21,'🔵クレーム'!X$10:X$21)</f>
        <v>0</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569</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0</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0</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570</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571</v>
      </c>
      <c r="C20" s="829" t="s">
        <v>572</v>
      </c>
      <c r="D20" s="829" t="s">
        <v>89</v>
      </c>
      <c r="E20" s="829" t="s">
        <v>90</v>
      </c>
      <c r="F20" s="829" t="s">
        <v>573</v>
      </c>
      <c r="G20" s="829" t="s">
        <v>135</v>
      </c>
      <c r="H20" s="829" t="s">
        <v>135</v>
      </c>
      <c r="I20" s="829" t="s">
        <v>574</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c r="C21" s="861"/>
      <c r="D21" s="861"/>
      <c r="E21" s="861"/>
      <c r="F21" s="862"/>
      <c r="G21" s="862"/>
      <c r="H21" s="862"/>
      <c r="I21" s="863">
        <f>sum(B21:G21)</f>
        <v>0</v>
      </c>
      <c r="J21" s="813"/>
      <c r="K21" s="797"/>
      <c r="L21" s="864" t="s">
        <v>575</v>
      </c>
      <c r="M21" s="232"/>
      <c r="N21" s="232"/>
      <c r="O21" s="232"/>
      <c r="P21" s="232"/>
      <c r="Q21" s="232"/>
      <c r="R21" s="232"/>
      <c r="S21" s="3"/>
      <c r="T21" s="820" t="s">
        <v>564</v>
      </c>
      <c r="U21" s="821" t="s">
        <v>576</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c r="M22" s="247"/>
      <c r="N22" s="247"/>
      <c r="O22" s="247"/>
      <c r="P22" s="247"/>
      <c r="Q22" s="247"/>
      <c r="R22" s="247"/>
      <c r="S22" s="250"/>
      <c r="U22" s="826"/>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577</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578</v>
      </c>
      <c r="C25" s="869" t="s">
        <v>579</v>
      </c>
      <c r="D25" s="3"/>
      <c r="E25" s="869" t="s">
        <v>580</v>
      </c>
      <c r="F25" s="232"/>
      <c r="G25" s="232"/>
      <c r="H25" s="869" t="s">
        <v>581</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c r="C26" s="871"/>
      <c r="D26" s="3"/>
      <c r="E26" s="871"/>
      <c r="F26" s="232"/>
      <c r="G26" s="232"/>
      <c r="H26" s="872"/>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582</v>
      </c>
      <c r="M35" s="232"/>
      <c r="N35" s="232"/>
      <c r="O35" s="232"/>
      <c r="P35" s="232"/>
      <c r="Q35" s="232"/>
      <c r="R35" s="232"/>
      <c r="S35" s="3"/>
      <c r="T35" s="820" t="s">
        <v>564</v>
      </c>
      <c r="U35" s="821" t="s">
        <v>582</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c r="M36" s="247"/>
      <c r="N36" s="247"/>
      <c r="O36" s="247"/>
      <c r="P36" s="247"/>
      <c r="Q36" s="247"/>
      <c r="R36" s="247"/>
      <c r="S36" s="250"/>
      <c r="U36" s="826"/>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583</v>
      </c>
      <c r="C37" s="876"/>
      <c r="D37" s="877">
        <f>counta(C39:D48)</f>
        <v>0</v>
      </c>
      <c r="E37" s="878" t="s">
        <v>584</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580</v>
      </c>
      <c r="F38" s="882"/>
      <c r="G38" s="881" t="s">
        <v>585</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586</v>
      </c>
      <c r="M49" s="232"/>
      <c r="N49" s="232"/>
      <c r="O49" s="232"/>
      <c r="P49" s="232"/>
      <c r="Q49" s="232"/>
      <c r="R49" s="232"/>
      <c r="S49" s="3"/>
      <c r="T49" s="820" t="s">
        <v>564</v>
      </c>
      <c r="U49" s="821" t="s">
        <v>587</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588</v>
      </c>
      <c r="C50" s="895"/>
      <c r="D50" s="896">
        <f>COUNTA(C52:D62)</f>
        <v>0</v>
      </c>
      <c r="E50" s="859"/>
      <c r="F50" s="859"/>
      <c r="G50" s="859"/>
      <c r="H50" s="859"/>
      <c r="I50" s="798"/>
      <c r="J50" s="798"/>
      <c r="K50" s="797"/>
      <c r="L50" s="826"/>
      <c r="M50" s="247"/>
      <c r="N50" s="247"/>
      <c r="O50" s="247"/>
      <c r="P50" s="247"/>
      <c r="Q50" s="247"/>
      <c r="R50" s="247"/>
      <c r="S50" s="250"/>
      <c r="U50" s="826"/>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589</v>
      </c>
      <c r="C51" s="881" t="s">
        <v>437</v>
      </c>
      <c r="D51" s="882"/>
      <c r="E51" s="880" t="s">
        <v>590</v>
      </c>
      <c r="F51" s="880" t="s">
        <v>591</v>
      </c>
      <c r="G51" s="880" t="s">
        <v>592</v>
      </c>
      <c r="H51" s="881" t="s">
        <v>593</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594</v>
      </c>
      <c r="M63" s="232"/>
      <c r="N63" s="232"/>
      <c r="O63" s="232"/>
      <c r="P63" s="232"/>
      <c r="Q63" s="232"/>
      <c r="R63" s="232"/>
      <c r="S63" s="3"/>
      <c r="T63" s="820" t="s">
        <v>564</v>
      </c>
      <c r="U63" s="821" t="s">
        <v>595</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596</v>
      </c>
      <c r="C64" s="902"/>
      <c r="D64" s="896">
        <f>COUNTA(C66:D76)</f>
        <v>0</v>
      </c>
      <c r="E64" s="859"/>
      <c r="F64" s="859"/>
      <c r="G64" s="859"/>
      <c r="H64" s="859"/>
      <c r="I64" s="859"/>
      <c r="J64" s="798"/>
      <c r="K64" s="797"/>
      <c r="L64" s="826"/>
      <c r="M64" s="247"/>
      <c r="N64" s="247"/>
      <c r="O64" s="247"/>
      <c r="P64" s="247"/>
      <c r="Q64" s="247"/>
      <c r="R64" s="247"/>
      <c r="S64" s="250"/>
      <c r="U64" s="826"/>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589</v>
      </c>
      <c r="C65" s="881" t="s">
        <v>437</v>
      </c>
      <c r="D65" s="882"/>
      <c r="E65" s="880" t="s">
        <v>597</v>
      </c>
      <c r="F65" s="881" t="s">
        <v>598</v>
      </c>
      <c r="G65" s="882"/>
      <c r="H65" s="881" t="s">
        <v>593</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599</v>
      </c>
      <c r="M77" s="232"/>
      <c r="N77" s="232"/>
      <c r="O77" s="232"/>
      <c r="P77" s="232"/>
      <c r="Q77" s="232"/>
      <c r="R77" s="232"/>
      <c r="S77" s="3"/>
      <c r="T77" s="813"/>
      <c r="U77" s="905" t="s">
        <v>600</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601</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826"/>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5.7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602</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363</v>
      </c>
      <c r="AZ31" s="445">
        <f t="shared" ref="AZ31:AZ32" si="12">BA31/$G$5*COUNTIFS($E$13:$E$43,"&gt;0")</f>
        <v>182400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365</v>
      </c>
      <c r="AZ32" s="445">
        <f t="shared" si="12"/>
        <v>100000</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367</v>
      </c>
      <c r="AZ33" s="462">
        <v>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369</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339</v>
      </c>
      <c r="AY40" s="471" t="s">
        <v>603</v>
      </c>
      <c r="AZ40" s="462">
        <v>113950.0</v>
      </c>
      <c r="BA40" s="909">
        <v>46092.0</v>
      </c>
      <c r="BB40" s="443">
        <f>SUM(AZ40:AZ45)</f>
        <v>189200</v>
      </c>
      <c r="BC40" s="315"/>
      <c r="BD40" s="473" t="s">
        <v>365</v>
      </c>
      <c r="BE40" s="474">
        <v>60000.0</v>
      </c>
      <c r="BF40" s="472"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339</v>
      </c>
      <c r="AY41" s="471" t="s">
        <v>604</v>
      </c>
      <c r="AZ41" s="462">
        <v>75250.0</v>
      </c>
      <c r="BA41" s="909">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605</v>
      </c>
      <c r="O2" s="534"/>
      <c r="P2" s="535"/>
      <c r="Q2" s="536"/>
      <c r="R2" s="536"/>
      <c r="S2" s="537"/>
      <c r="T2" s="536"/>
      <c r="U2" s="536"/>
      <c r="V2" s="536"/>
      <c r="W2" s="536"/>
      <c r="X2" s="536"/>
      <c r="Y2" s="538"/>
      <c r="Z2" s="281"/>
      <c r="AA2" s="281"/>
      <c r="AB2" s="281"/>
      <c r="AC2" s="281"/>
      <c r="AD2" s="281"/>
      <c r="AE2" s="281"/>
      <c r="AF2" s="539"/>
      <c r="AG2" s="540"/>
      <c r="AH2" s="541"/>
      <c r="AI2" s="542" t="s">
        <v>606</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119</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408</v>
      </c>
      <c r="BK4" s="250"/>
      <c r="BL4" s="564">
        <v>46143.0</v>
      </c>
      <c r="BT4" s="526"/>
      <c r="BU4" s="526"/>
      <c r="BV4" s="526"/>
      <c r="BW4" s="526"/>
      <c r="BX4" s="526"/>
    </row>
    <row r="5" ht="24.75" customHeight="1">
      <c r="A5" s="529"/>
      <c r="B5" s="589" t="s">
        <v>409</v>
      </c>
      <c r="C5" s="590"/>
      <c r="D5" s="529"/>
      <c r="E5" s="591" t="s">
        <v>410</v>
      </c>
      <c r="F5" s="590"/>
      <c r="G5" s="529"/>
      <c r="H5" s="529"/>
      <c r="I5" s="592" t="b">
        <v>1</v>
      </c>
      <c r="J5" s="3"/>
      <c r="K5" s="593" t="s">
        <v>132</v>
      </c>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424</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46123</v>
      </c>
      <c r="C7" s="614"/>
      <c r="D7" s="529"/>
      <c r="E7" s="615">
        <f>today()+1</f>
        <v>46124</v>
      </c>
      <c r="F7" s="616"/>
      <c r="G7" s="529"/>
      <c r="H7" s="529"/>
      <c r="I7" s="617" t="s">
        <v>425</v>
      </c>
      <c r="J7" s="618" t="s">
        <v>426</v>
      </c>
      <c r="K7" s="619">
        <v>46082.0</v>
      </c>
      <c r="L7" s="620" t="s">
        <v>427</v>
      </c>
      <c r="M7" s="621" t="s">
        <v>428</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0">
        <f t="shared" si="2"/>
        <v>46112</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292</v>
      </c>
      <c r="C8" s="911" t="str">
        <f>TEXT(B7,"ddd")</f>
        <v>土</v>
      </c>
      <c r="D8" s="200"/>
      <c r="E8" s="912" t="s">
        <v>292</v>
      </c>
      <c r="F8" s="913" t="str">
        <f>TEXT(E7,"ddd")</f>
        <v>日</v>
      </c>
      <c r="G8" s="200"/>
      <c r="H8" s="200"/>
      <c r="I8" s="617"/>
      <c r="J8" s="632" t="s">
        <v>436</v>
      </c>
      <c r="K8" s="620" t="s">
        <v>437</v>
      </c>
      <c r="L8" s="633" t="s">
        <v>438</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439</v>
      </c>
      <c r="L9" s="639" t="s">
        <v>135</v>
      </c>
      <c r="M9" s="640" t="s">
        <v>440</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441</v>
      </c>
      <c r="L10" s="639" t="s">
        <v>135</v>
      </c>
      <c r="M10" s="640" t="s">
        <v>442</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444</v>
      </c>
      <c r="M11" s="645"/>
      <c r="N11" s="646" t="s">
        <v>420</v>
      </c>
      <c r="O11" s="646" t="s">
        <v>420</v>
      </c>
      <c r="P11" s="646" t="s">
        <v>396</v>
      </c>
      <c r="Q11" s="646" t="s">
        <v>396</v>
      </c>
      <c r="R11" s="646" t="s">
        <v>396</v>
      </c>
      <c r="S11" s="646" t="s">
        <v>396</v>
      </c>
      <c r="T11" s="646" t="s">
        <v>412</v>
      </c>
      <c r="U11" s="646" t="s">
        <v>396</v>
      </c>
      <c r="V11" s="646" t="s">
        <v>412</v>
      </c>
      <c r="W11" s="646" t="s">
        <v>412</v>
      </c>
      <c r="X11" s="646" t="s">
        <v>396</v>
      </c>
      <c r="Y11" s="646" t="s">
        <v>396</v>
      </c>
      <c r="Z11" s="646" t="s">
        <v>396</v>
      </c>
      <c r="AA11" s="646" t="s">
        <v>396</v>
      </c>
      <c r="AB11" s="646" t="s">
        <v>396</v>
      </c>
      <c r="AC11" s="646" t="s">
        <v>396</v>
      </c>
      <c r="AD11" s="646" t="s">
        <v>412</v>
      </c>
      <c r="AE11" s="646" t="s">
        <v>396</v>
      </c>
      <c r="AF11" s="646" t="s">
        <v>396</v>
      </c>
      <c r="AG11" s="646" t="s">
        <v>396</v>
      </c>
      <c r="AH11" s="646" t="s">
        <v>396</v>
      </c>
      <c r="AI11" s="646" t="s">
        <v>396</v>
      </c>
      <c r="AJ11" s="646" t="s">
        <v>396</v>
      </c>
      <c r="AK11" s="646" t="s">
        <v>412</v>
      </c>
      <c r="AL11" s="646" t="s">
        <v>396</v>
      </c>
      <c r="AM11" s="646" t="s">
        <v>396</v>
      </c>
      <c r="AN11" s="646" t="s">
        <v>396</v>
      </c>
      <c r="AO11" s="646" t="s">
        <v>396</v>
      </c>
      <c r="AP11" s="646" t="s">
        <v>420</v>
      </c>
      <c r="AQ11" s="646" t="s">
        <v>420</v>
      </c>
      <c r="AR11" s="646" t="s">
        <v>396</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444</v>
      </c>
      <c r="M12" s="645"/>
      <c r="N12" s="914" t="s">
        <v>398</v>
      </c>
      <c r="O12" s="915" t="s">
        <v>398</v>
      </c>
      <c r="P12" s="915" t="s">
        <v>398</v>
      </c>
      <c r="Q12" s="915" t="s">
        <v>412</v>
      </c>
      <c r="R12" s="915" t="s">
        <v>412</v>
      </c>
      <c r="S12" s="915" t="s">
        <v>398</v>
      </c>
      <c r="T12" s="916" t="s">
        <v>398</v>
      </c>
      <c r="U12" s="914" t="s">
        <v>398</v>
      </c>
      <c r="V12" s="915" t="s">
        <v>398</v>
      </c>
      <c r="W12" s="915" t="s">
        <v>398</v>
      </c>
      <c r="X12" s="915" t="s">
        <v>420</v>
      </c>
      <c r="Y12" s="915" t="s">
        <v>420</v>
      </c>
      <c r="Z12" s="915" t="s">
        <v>398</v>
      </c>
      <c r="AA12" s="916" t="s">
        <v>398</v>
      </c>
      <c r="AB12" s="914" t="s">
        <v>398</v>
      </c>
      <c r="AC12" s="915" t="s">
        <v>412</v>
      </c>
      <c r="AD12" s="915" t="s">
        <v>398</v>
      </c>
      <c r="AE12" s="915" t="s">
        <v>398</v>
      </c>
      <c r="AF12" s="915" t="s">
        <v>412</v>
      </c>
      <c r="AG12" s="915" t="s">
        <v>398</v>
      </c>
      <c r="AH12" s="916" t="s">
        <v>398</v>
      </c>
      <c r="AI12" s="914" t="s">
        <v>398</v>
      </c>
      <c r="AJ12" s="915" t="s">
        <v>412</v>
      </c>
      <c r="AK12" s="915" t="s">
        <v>398</v>
      </c>
      <c r="AL12" s="915" t="s">
        <v>398</v>
      </c>
      <c r="AM12" s="915" t="s">
        <v>412</v>
      </c>
      <c r="AN12" s="915" t="s">
        <v>398</v>
      </c>
      <c r="AO12" s="916" t="s">
        <v>398</v>
      </c>
      <c r="AP12" s="646" t="s">
        <v>398</v>
      </c>
      <c r="AQ12" s="646" t="s">
        <v>398</v>
      </c>
      <c r="AR12" s="646" t="s">
        <v>412</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444</v>
      </c>
      <c r="M13" s="645"/>
      <c r="N13" s="917"/>
      <c r="O13" s="918"/>
      <c r="P13" s="915" t="s">
        <v>398</v>
      </c>
      <c r="Q13" s="918"/>
      <c r="R13" s="918"/>
      <c r="S13" s="915"/>
      <c r="T13" s="919"/>
      <c r="U13" s="917"/>
      <c r="V13" s="915" t="s">
        <v>398</v>
      </c>
      <c r="W13" s="915" t="s">
        <v>398</v>
      </c>
      <c r="X13" s="918"/>
      <c r="Y13" s="918"/>
      <c r="Z13" s="915" t="s">
        <v>398</v>
      </c>
      <c r="AA13" s="919"/>
      <c r="AB13" s="917"/>
      <c r="AC13" s="918"/>
      <c r="AD13" s="915" t="s">
        <v>398</v>
      </c>
      <c r="AE13" s="918"/>
      <c r="AF13" s="918"/>
      <c r="AG13" s="915" t="s">
        <v>398</v>
      </c>
      <c r="AH13" s="919"/>
      <c r="AI13" s="917"/>
      <c r="AJ13" s="920"/>
      <c r="AK13" s="915" t="s">
        <v>398</v>
      </c>
      <c r="AL13" s="918"/>
      <c r="AM13" s="918"/>
      <c r="AN13" s="915"/>
      <c r="AO13" s="919"/>
      <c r="AP13" s="646"/>
      <c r="AQ13" s="646"/>
      <c r="AR13" s="646" t="s">
        <v>398</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0"/>
      <c r="AB14" s="915"/>
      <c r="AC14" s="646"/>
      <c r="AD14" s="921"/>
      <c r="AE14" s="915" t="s">
        <v>607</v>
      </c>
      <c r="AF14" s="646"/>
      <c r="AG14" s="646"/>
      <c r="AH14" s="920"/>
      <c r="AI14" s="915"/>
      <c r="AJ14" s="646"/>
      <c r="AK14" s="646"/>
      <c r="AL14" s="646"/>
      <c r="AM14" s="915"/>
      <c r="AN14" s="920"/>
      <c r="AO14" s="920"/>
      <c r="AP14" s="646" t="s">
        <v>607</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448</v>
      </c>
      <c r="L15" s="639" t="s">
        <v>444</v>
      </c>
      <c r="M15" s="645"/>
      <c r="N15" s="646"/>
      <c r="O15" s="646"/>
      <c r="P15" s="646"/>
      <c r="Q15" s="646"/>
      <c r="R15" s="646"/>
      <c r="S15" s="646"/>
      <c r="T15" s="646"/>
      <c r="U15" s="646"/>
      <c r="V15" s="646"/>
      <c r="W15" s="646"/>
      <c r="X15" s="646" t="s">
        <v>405</v>
      </c>
      <c r="Y15" s="646" t="s">
        <v>405</v>
      </c>
      <c r="Z15" s="646" t="s">
        <v>405</v>
      </c>
      <c r="AA15" s="646"/>
      <c r="AB15" s="646"/>
      <c r="AC15" s="646"/>
      <c r="AD15" s="646"/>
      <c r="AE15" s="646" t="s">
        <v>405</v>
      </c>
      <c r="AF15" s="646" t="s">
        <v>405</v>
      </c>
      <c r="AG15" s="646" t="s">
        <v>405</v>
      </c>
      <c r="AH15" s="646"/>
      <c r="AI15" s="24"/>
      <c r="AJ15" s="646"/>
      <c r="AK15" s="646"/>
      <c r="AL15" s="646" t="s">
        <v>405</v>
      </c>
      <c r="AM15" s="646" t="s">
        <v>405</v>
      </c>
      <c r="AN15" s="646"/>
      <c r="AO15" s="646"/>
      <c r="AP15" s="646"/>
      <c r="AQ15" s="921" t="s">
        <v>405</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450</v>
      </c>
      <c r="L17" s="639" t="s">
        <v>451</v>
      </c>
      <c r="M17" s="645"/>
      <c r="N17" s="646" t="s">
        <v>412</v>
      </c>
      <c r="O17" s="646" t="s">
        <v>420</v>
      </c>
      <c r="P17" s="646" t="s">
        <v>420</v>
      </c>
      <c r="Q17" s="646" t="s">
        <v>398</v>
      </c>
      <c r="R17" s="646" t="s">
        <v>412</v>
      </c>
      <c r="S17" s="646" t="s">
        <v>398</v>
      </c>
      <c r="T17" s="646" t="s">
        <v>412</v>
      </c>
      <c r="U17" s="646" t="s">
        <v>412</v>
      </c>
      <c r="V17" s="646" t="s">
        <v>398</v>
      </c>
      <c r="W17" s="646" t="s">
        <v>398</v>
      </c>
      <c r="X17" s="646" t="s">
        <v>398</v>
      </c>
      <c r="Y17" s="646" t="s">
        <v>412</v>
      </c>
      <c r="Z17" s="646" t="s">
        <v>398</v>
      </c>
      <c r="AA17" s="646" t="s">
        <v>412</v>
      </c>
      <c r="AB17" s="646" t="s">
        <v>412</v>
      </c>
      <c r="AC17" s="646" t="s">
        <v>412</v>
      </c>
      <c r="AD17" s="646" t="s">
        <v>398</v>
      </c>
      <c r="AE17" s="646" t="s">
        <v>398</v>
      </c>
      <c r="AF17" s="646" t="s">
        <v>412</v>
      </c>
      <c r="AG17" s="646" t="s">
        <v>412</v>
      </c>
      <c r="AH17" s="646" t="s">
        <v>412</v>
      </c>
      <c r="AI17" s="646" t="s">
        <v>412</v>
      </c>
      <c r="AJ17" s="646" t="s">
        <v>412</v>
      </c>
      <c r="AK17" s="646" t="s">
        <v>398</v>
      </c>
      <c r="AL17" s="646" t="s">
        <v>398</v>
      </c>
      <c r="AM17" s="646" t="s">
        <v>412</v>
      </c>
      <c r="AN17" s="646" t="s">
        <v>398</v>
      </c>
      <c r="AO17" s="646" t="s">
        <v>412</v>
      </c>
      <c r="AP17" s="646" t="s">
        <v>412</v>
      </c>
      <c r="AQ17" s="646" t="s">
        <v>412</v>
      </c>
      <c r="AR17" s="646" t="s">
        <v>398</v>
      </c>
      <c r="AS17" s="647">
        <f t="array" ref="AS17">SUM(COUNTIF(N17:AR17, {"◎","〇","☆","共","特","浴"}))</f>
        <v>12</v>
      </c>
      <c r="AT17" s="651"/>
      <c r="AU17" s="649"/>
      <c r="AV17" s="649"/>
      <c r="AW17" s="649"/>
      <c r="AX17" s="649"/>
      <c r="AY17" s="649"/>
      <c r="AZ17" s="649"/>
      <c r="BA17" s="649"/>
      <c r="BB17" s="652" t="s">
        <v>608</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453</v>
      </c>
      <c r="L18" s="639" t="s">
        <v>451</v>
      </c>
      <c r="M18" s="645"/>
      <c r="N18" s="646" t="s">
        <v>412</v>
      </c>
      <c r="O18" s="646" t="s">
        <v>398</v>
      </c>
      <c r="P18" s="646" t="s">
        <v>398</v>
      </c>
      <c r="Q18" s="646" t="s">
        <v>412</v>
      </c>
      <c r="R18" s="646" t="s">
        <v>398</v>
      </c>
      <c r="S18" s="646" t="s">
        <v>412</v>
      </c>
      <c r="T18" s="646" t="s">
        <v>412</v>
      </c>
      <c r="U18" s="646" t="s">
        <v>412</v>
      </c>
      <c r="V18" s="646" t="s">
        <v>420</v>
      </c>
      <c r="W18" s="646" t="s">
        <v>420</v>
      </c>
      <c r="X18" s="646" t="s">
        <v>412</v>
      </c>
      <c r="Y18" s="646" t="s">
        <v>398</v>
      </c>
      <c r="Z18" s="646" t="s">
        <v>412</v>
      </c>
      <c r="AA18" s="646" t="s">
        <v>412</v>
      </c>
      <c r="AB18" s="646" t="s">
        <v>412</v>
      </c>
      <c r="AC18" s="646" t="s">
        <v>398</v>
      </c>
      <c r="AD18" s="646" t="s">
        <v>398</v>
      </c>
      <c r="AE18" s="646" t="s">
        <v>412</v>
      </c>
      <c r="AF18" s="646" t="s">
        <v>398</v>
      </c>
      <c r="AG18" s="646" t="s">
        <v>412</v>
      </c>
      <c r="AH18" s="646" t="s">
        <v>412</v>
      </c>
      <c r="AI18" s="646" t="s">
        <v>412</v>
      </c>
      <c r="AJ18" s="646" t="s">
        <v>398</v>
      </c>
      <c r="AK18" s="646" t="s">
        <v>398</v>
      </c>
      <c r="AL18" s="646" t="s">
        <v>412</v>
      </c>
      <c r="AM18" s="646" t="s">
        <v>398</v>
      </c>
      <c r="AN18" s="646" t="s">
        <v>412</v>
      </c>
      <c r="AO18" s="646" t="s">
        <v>412</v>
      </c>
      <c r="AP18" s="646" t="s">
        <v>412</v>
      </c>
      <c r="AQ18" s="646" t="s">
        <v>420</v>
      </c>
      <c r="AR18" s="646" t="s">
        <v>398</v>
      </c>
      <c r="AS18" s="647">
        <f t="array" ref="AS18">SUM(COUNTIF(N18:AR18, {"◎","〇","☆","共","特","浴"}))</f>
        <v>11</v>
      </c>
      <c r="AT18" s="648"/>
      <c r="AU18" s="649"/>
      <c r="AV18" s="649"/>
      <c r="AW18" s="649"/>
      <c r="AX18" s="649"/>
      <c r="AY18" s="649"/>
      <c r="AZ18" s="649"/>
      <c r="BA18" s="649"/>
      <c r="BB18" s="652" t="s">
        <v>609</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451</v>
      </c>
      <c r="M19" s="645"/>
      <c r="N19" s="646" t="s">
        <v>412</v>
      </c>
      <c r="O19" s="646" t="s">
        <v>412</v>
      </c>
      <c r="P19" s="646" t="s">
        <v>412</v>
      </c>
      <c r="Q19" s="646" t="s">
        <v>398</v>
      </c>
      <c r="R19" s="646" t="s">
        <v>398</v>
      </c>
      <c r="S19" s="646" t="s">
        <v>398</v>
      </c>
      <c r="T19" s="646" t="s">
        <v>412</v>
      </c>
      <c r="U19" s="646" t="s">
        <v>412</v>
      </c>
      <c r="V19" s="646" t="s">
        <v>412</v>
      </c>
      <c r="W19" s="646" t="s">
        <v>398</v>
      </c>
      <c r="X19" s="646" t="s">
        <v>398</v>
      </c>
      <c r="Y19" s="646" t="s">
        <v>398</v>
      </c>
      <c r="Z19" s="646" t="s">
        <v>412</v>
      </c>
      <c r="AA19" s="646" t="s">
        <v>412</v>
      </c>
      <c r="AB19" s="646" t="s">
        <v>412</v>
      </c>
      <c r="AC19" s="646" t="s">
        <v>412</v>
      </c>
      <c r="AD19" s="646" t="s">
        <v>398</v>
      </c>
      <c r="AE19" s="646" t="s">
        <v>398</v>
      </c>
      <c r="AF19" s="646" t="s">
        <v>398</v>
      </c>
      <c r="AG19" s="646" t="s">
        <v>412</v>
      </c>
      <c r="AH19" s="646" t="s">
        <v>412</v>
      </c>
      <c r="AI19" s="646" t="s">
        <v>412</v>
      </c>
      <c r="AJ19" s="646" t="s">
        <v>412</v>
      </c>
      <c r="AK19" s="646" t="s">
        <v>398</v>
      </c>
      <c r="AL19" s="646" t="s">
        <v>398</v>
      </c>
      <c r="AM19" s="646" t="s">
        <v>398</v>
      </c>
      <c r="AN19" s="646" t="s">
        <v>412</v>
      </c>
      <c r="AO19" s="646" t="s">
        <v>412</v>
      </c>
      <c r="AP19" s="646" t="s">
        <v>412</v>
      </c>
      <c r="AQ19" s="646" t="s">
        <v>412</v>
      </c>
      <c r="AR19" s="646" t="s">
        <v>420</v>
      </c>
      <c r="AS19" s="647">
        <f t="array" ref="AS19">SUM(COUNTIF(N19:AR19, {"◎","〇","☆","共","特","浴"}))</f>
        <v>12</v>
      </c>
      <c r="AT19" s="651"/>
      <c r="AU19" s="649"/>
      <c r="AV19" s="649"/>
      <c r="AW19" s="649"/>
      <c r="AX19" s="649"/>
      <c r="AY19" s="649"/>
      <c r="AZ19" s="649"/>
      <c r="BA19" s="649"/>
      <c r="BB19" s="652" t="s">
        <v>610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454</v>
      </c>
      <c r="L20" s="639" t="s">
        <v>451</v>
      </c>
      <c r="M20" s="645"/>
      <c r="N20" s="646" t="s">
        <v>398</v>
      </c>
      <c r="O20" s="646" t="s">
        <v>398</v>
      </c>
      <c r="P20" s="646" t="s">
        <v>412</v>
      </c>
      <c r="Q20" s="646" t="s">
        <v>412</v>
      </c>
      <c r="R20" s="646" t="s">
        <v>398</v>
      </c>
      <c r="S20" s="646" t="s">
        <v>412</v>
      </c>
      <c r="T20" s="646" t="s">
        <v>398</v>
      </c>
      <c r="U20" s="646" t="s">
        <v>398</v>
      </c>
      <c r="V20" s="646" t="s">
        <v>398</v>
      </c>
      <c r="W20" s="646" t="s">
        <v>412</v>
      </c>
      <c r="X20" s="646" t="s">
        <v>412</v>
      </c>
      <c r="Y20" s="646" t="s">
        <v>398</v>
      </c>
      <c r="Z20" s="646" t="s">
        <v>412</v>
      </c>
      <c r="AA20" s="646" t="s">
        <v>398</v>
      </c>
      <c r="AB20" s="646" t="s">
        <v>398</v>
      </c>
      <c r="AC20" s="646" t="s">
        <v>398</v>
      </c>
      <c r="AD20" s="646" t="s">
        <v>412</v>
      </c>
      <c r="AE20" s="646" t="s">
        <v>412</v>
      </c>
      <c r="AF20" s="646" t="s">
        <v>398</v>
      </c>
      <c r="AG20" s="646" t="s">
        <v>412</v>
      </c>
      <c r="AH20" s="646" t="s">
        <v>398</v>
      </c>
      <c r="AI20" s="646" t="s">
        <v>398</v>
      </c>
      <c r="AJ20" s="646" t="s">
        <v>398</v>
      </c>
      <c r="AK20" s="646" t="s">
        <v>412</v>
      </c>
      <c r="AL20" s="646" t="s">
        <v>412</v>
      </c>
      <c r="AM20" s="646" t="s">
        <v>398</v>
      </c>
      <c r="AN20" s="646" t="s">
        <v>412</v>
      </c>
      <c r="AO20" s="646" t="s">
        <v>398</v>
      </c>
      <c r="AP20" s="646" t="s">
        <v>398</v>
      </c>
      <c r="AQ20" s="646" t="s">
        <v>398</v>
      </c>
      <c r="AR20" s="646" t="s">
        <v>412</v>
      </c>
      <c r="AS20" s="647">
        <f t="array" ref="AS20">SUM(COUNTIF(N20:AR20, {"◎","〇","☆","共","特","浴"}))</f>
        <v>18</v>
      </c>
      <c r="AT20" s="651"/>
      <c r="AU20" s="649"/>
      <c r="AV20" s="649"/>
      <c r="AW20" s="649"/>
      <c r="AX20" s="649"/>
      <c r="AY20" s="649"/>
      <c r="AZ20" s="649"/>
      <c r="BA20" s="649"/>
      <c r="BB20" s="922" t="s">
        <v>611</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456</v>
      </c>
      <c r="L21" s="639" t="s">
        <v>451</v>
      </c>
      <c r="M21" s="645"/>
      <c r="N21" s="646" t="s">
        <v>398</v>
      </c>
      <c r="O21" s="646" t="s">
        <v>398</v>
      </c>
      <c r="P21" s="646" t="s">
        <v>412</v>
      </c>
      <c r="Q21" s="646" t="s">
        <v>420</v>
      </c>
      <c r="R21" s="646" t="s">
        <v>412</v>
      </c>
      <c r="S21" s="646" t="s">
        <v>412</v>
      </c>
      <c r="T21" s="646" t="s">
        <v>398</v>
      </c>
      <c r="U21" s="646" t="s">
        <v>412</v>
      </c>
      <c r="V21" s="646" t="s">
        <v>398</v>
      </c>
      <c r="W21" s="646" t="s">
        <v>412</v>
      </c>
      <c r="X21" s="925" t="s">
        <v>398</v>
      </c>
      <c r="Y21" s="646" t="s">
        <v>412</v>
      </c>
      <c r="Z21" s="646" t="s">
        <v>412</v>
      </c>
      <c r="AA21" s="646" t="s">
        <v>398</v>
      </c>
      <c r="AB21" s="646" t="s">
        <v>398</v>
      </c>
      <c r="AC21" s="646" t="s">
        <v>398</v>
      </c>
      <c r="AD21" s="646" t="s">
        <v>412</v>
      </c>
      <c r="AE21" s="646" t="s">
        <v>420</v>
      </c>
      <c r="AF21" s="646" t="s">
        <v>412</v>
      </c>
      <c r="AG21" s="646" t="s">
        <v>412</v>
      </c>
      <c r="AH21" s="646" t="s">
        <v>398</v>
      </c>
      <c r="AI21" s="646" t="s">
        <v>412</v>
      </c>
      <c r="AJ21" s="646" t="s">
        <v>398</v>
      </c>
      <c r="AK21" s="646" t="s">
        <v>412</v>
      </c>
      <c r="AL21" s="646" t="s">
        <v>398</v>
      </c>
      <c r="AM21" s="646" t="s">
        <v>412</v>
      </c>
      <c r="AN21" s="646" t="s">
        <v>412</v>
      </c>
      <c r="AO21" s="646" t="s">
        <v>398</v>
      </c>
      <c r="AP21" s="646" t="s">
        <v>412</v>
      </c>
      <c r="AQ21" s="646" t="s">
        <v>398</v>
      </c>
      <c r="AR21" s="646" t="s">
        <v>412</v>
      </c>
      <c r="AS21" s="647">
        <f t="array" ref="AS21">SUM(COUNTIF(N21:AR21, {"◎","〇","☆","共","特","浴"}))</f>
        <v>13</v>
      </c>
      <c r="AT21" s="651"/>
      <c r="AU21" s="649"/>
      <c r="AV21" s="649"/>
      <c r="AW21" s="649"/>
      <c r="AX21" s="649"/>
      <c r="AY21" s="649"/>
      <c r="AZ21" s="649"/>
      <c r="BA21" s="649"/>
      <c r="BB21" s="652" t="s">
        <v>612</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458</v>
      </c>
      <c r="L22" s="639" t="s">
        <v>451</v>
      </c>
      <c r="M22" s="645"/>
      <c r="N22" s="646" t="s">
        <v>420</v>
      </c>
      <c r="O22" s="646" t="s">
        <v>412</v>
      </c>
      <c r="P22" s="646" t="s">
        <v>398</v>
      </c>
      <c r="Q22" s="646" t="s">
        <v>398</v>
      </c>
      <c r="R22" s="646" t="s">
        <v>420</v>
      </c>
      <c r="S22" s="646" t="s">
        <v>398</v>
      </c>
      <c r="T22" s="646" t="s">
        <v>398</v>
      </c>
      <c r="U22" s="646" t="s">
        <v>398</v>
      </c>
      <c r="V22" s="646" t="s">
        <v>412</v>
      </c>
      <c r="W22" s="926" t="s">
        <v>398</v>
      </c>
      <c r="X22" s="927" t="s">
        <v>412</v>
      </c>
      <c r="Y22" s="928" t="s">
        <v>420</v>
      </c>
      <c r="Z22" s="646" t="s">
        <v>420</v>
      </c>
      <c r="AA22" s="646" t="s">
        <v>412</v>
      </c>
      <c r="AB22" s="646" t="s">
        <v>398</v>
      </c>
      <c r="AC22" s="646" t="s">
        <v>412</v>
      </c>
      <c r="AD22" s="646" t="s">
        <v>412</v>
      </c>
      <c r="AE22" s="646" t="s">
        <v>412</v>
      </c>
      <c r="AF22" s="646" t="s">
        <v>412</v>
      </c>
      <c r="AG22" s="646" t="s">
        <v>398</v>
      </c>
      <c r="AH22" s="646" t="s">
        <v>412</v>
      </c>
      <c r="AI22" s="646" t="s">
        <v>412</v>
      </c>
      <c r="AJ22" s="646" t="s">
        <v>412</v>
      </c>
      <c r="AK22" s="646" t="s">
        <v>412</v>
      </c>
      <c r="AL22" s="646" t="s">
        <v>398</v>
      </c>
      <c r="AM22" s="646" t="s">
        <v>412</v>
      </c>
      <c r="AN22" s="646" t="s">
        <v>398</v>
      </c>
      <c r="AO22" s="646" t="s">
        <v>398</v>
      </c>
      <c r="AP22" s="646" t="s">
        <v>398</v>
      </c>
      <c r="AQ22" s="646" t="s">
        <v>412</v>
      </c>
      <c r="AR22" s="646" t="s">
        <v>398</v>
      </c>
      <c r="AS22" s="647">
        <f t="array" ref="AS22">SUM(COUNTIF(N22:AR22, {"◎","〇","☆","共","特","浴"}))</f>
        <v>13</v>
      </c>
      <c r="AT22" s="648"/>
      <c r="AU22" s="649"/>
      <c r="AV22" s="649"/>
      <c r="AW22" s="649"/>
      <c r="AX22" s="649"/>
      <c r="AY22" s="649"/>
      <c r="AZ22" s="649"/>
      <c r="BA22" s="649"/>
      <c r="BB22" s="652" t="s">
        <v>613</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460</v>
      </c>
      <c r="L26" s="639" t="s">
        <v>602</v>
      </c>
      <c r="M26" s="645"/>
      <c r="N26" s="646" t="s">
        <v>461</v>
      </c>
      <c r="O26" s="646" t="s">
        <v>412</v>
      </c>
      <c r="P26" s="646" t="s">
        <v>412</v>
      </c>
      <c r="Q26" s="646" t="s">
        <v>461</v>
      </c>
      <c r="R26" s="646" t="s">
        <v>461</v>
      </c>
      <c r="S26" s="646" t="s">
        <v>461</v>
      </c>
      <c r="T26" s="646" t="s">
        <v>461</v>
      </c>
      <c r="U26" s="646" t="s">
        <v>461</v>
      </c>
      <c r="V26" s="646" t="s">
        <v>412</v>
      </c>
      <c r="W26" s="646" t="s">
        <v>412</v>
      </c>
      <c r="X26" s="646" t="s">
        <v>461</v>
      </c>
      <c r="Y26" s="646" t="s">
        <v>461</v>
      </c>
      <c r="Z26" s="646" t="s">
        <v>461</v>
      </c>
      <c r="AA26" s="646" t="s">
        <v>461</v>
      </c>
      <c r="AB26" s="646" t="s">
        <v>461</v>
      </c>
      <c r="AC26" s="646" t="s">
        <v>412</v>
      </c>
      <c r="AD26" s="646" t="s">
        <v>412</v>
      </c>
      <c r="AE26" s="646" t="s">
        <v>461</v>
      </c>
      <c r="AF26" s="646" t="s">
        <v>461</v>
      </c>
      <c r="AG26" s="646" t="s">
        <v>461</v>
      </c>
      <c r="AH26" s="646" t="s">
        <v>461</v>
      </c>
      <c r="AI26" s="646" t="s">
        <v>461</v>
      </c>
      <c r="AJ26" s="646" t="s">
        <v>412</v>
      </c>
      <c r="AK26" s="646" t="s">
        <v>412</v>
      </c>
      <c r="AL26" s="646" t="s">
        <v>461</v>
      </c>
      <c r="AM26" s="646" t="s">
        <v>461</v>
      </c>
      <c r="AN26" s="646" t="s">
        <v>461</v>
      </c>
      <c r="AO26" s="646" t="s">
        <v>461</v>
      </c>
      <c r="AP26" s="646" t="s">
        <v>461</v>
      </c>
      <c r="AQ26" s="646" t="s">
        <v>412</v>
      </c>
      <c r="AR26" s="646" t="s">
        <v>412</v>
      </c>
      <c r="AS26" s="647">
        <f t="array" ref="AS26">SUM(COUNTIF(N26:AR26, {"◎","〇","☆","共","特","浴"}))</f>
        <v>0</v>
      </c>
      <c r="AT26" s="648"/>
      <c r="AU26" s="649"/>
      <c r="AV26" s="649"/>
      <c r="AW26" s="649"/>
      <c r="AX26" s="649"/>
      <c r="AY26" s="649"/>
      <c r="AZ26" s="649"/>
      <c r="BA26" s="649"/>
      <c r="BB26" s="652" t="s">
        <v>614</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463</v>
      </c>
      <c r="L27" s="639" t="s">
        <v>602</v>
      </c>
      <c r="M27" s="645"/>
      <c r="N27" s="646" t="s">
        <v>412</v>
      </c>
      <c r="O27" s="646" t="s">
        <v>461</v>
      </c>
      <c r="P27" s="646" t="s">
        <v>461</v>
      </c>
      <c r="Q27" s="646" t="s">
        <v>412</v>
      </c>
      <c r="R27" s="646" t="s">
        <v>412</v>
      </c>
      <c r="S27" s="646" t="s">
        <v>412</v>
      </c>
      <c r="T27" s="646" t="s">
        <v>412</v>
      </c>
      <c r="U27" s="646" t="s">
        <v>412</v>
      </c>
      <c r="V27" s="646" t="s">
        <v>461</v>
      </c>
      <c r="W27" s="646" t="s">
        <v>461</v>
      </c>
      <c r="X27" s="646" t="s">
        <v>412</v>
      </c>
      <c r="Y27" s="646" t="s">
        <v>412</v>
      </c>
      <c r="Z27" s="646" t="s">
        <v>412</v>
      </c>
      <c r="AA27" s="646" t="s">
        <v>412</v>
      </c>
      <c r="AB27" s="646" t="s">
        <v>412</v>
      </c>
      <c r="AC27" s="646" t="s">
        <v>461</v>
      </c>
      <c r="AD27" s="646" t="s">
        <v>461</v>
      </c>
      <c r="AE27" s="646" t="s">
        <v>412</v>
      </c>
      <c r="AF27" s="646" t="s">
        <v>412</v>
      </c>
      <c r="AG27" s="646" t="s">
        <v>412</v>
      </c>
      <c r="AH27" s="646" t="s">
        <v>412</v>
      </c>
      <c r="AI27" s="646" t="s">
        <v>412</v>
      </c>
      <c r="AJ27" s="646" t="s">
        <v>461</v>
      </c>
      <c r="AK27" s="646" t="s">
        <v>461</v>
      </c>
      <c r="AL27" s="646" t="s">
        <v>412</v>
      </c>
      <c r="AM27" s="646" t="s">
        <v>412</v>
      </c>
      <c r="AN27" s="646" t="s">
        <v>412</v>
      </c>
      <c r="AO27" s="646" t="s">
        <v>412</v>
      </c>
      <c r="AP27" s="646" t="s">
        <v>412</v>
      </c>
      <c r="AQ27" s="646" t="s">
        <v>461</v>
      </c>
      <c r="AR27" s="646" t="s">
        <v>461</v>
      </c>
      <c r="AS27" s="647">
        <f t="array" ref="AS27">SUM(COUNTIF(N27:AR27, {"◎","〇","☆","共","特","浴"}))</f>
        <v>0</v>
      </c>
      <c r="AT27" s="648"/>
      <c r="AU27" s="649"/>
      <c r="AV27" s="649"/>
      <c r="AW27" s="649"/>
      <c r="AX27" s="649"/>
      <c r="AY27" s="649"/>
      <c r="AZ27" s="649"/>
      <c r="BA27" s="649"/>
      <c r="BB27" s="652" t="s">
        <v>615</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465</v>
      </c>
      <c r="L42" s="639" t="s">
        <v>451</v>
      </c>
      <c r="M42" s="640" t="s">
        <v>192</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466</v>
      </c>
      <c r="L43" s="639" t="s">
        <v>451</v>
      </c>
      <c r="M43" s="640" t="s">
        <v>401</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5" t="b">
        <v>0</v>
      </c>
      <c r="J44" s="618"/>
      <c r="K44" s="656" t="s">
        <v>467</v>
      </c>
      <c r="L44" s="657" t="s">
        <v>449</v>
      </c>
      <c r="M44" s="658"/>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59"/>
      <c r="AV44" s="659"/>
      <c r="AW44" s="659"/>
      <c r="AX44" s="659"/>
      <c r="AY44" s="659"/>
      <c r="AZ44" s="659"/>
      <c r="BA44" s="65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468</v>
      </c>
      <c r="L45" s="639" t="s">
        <v>449</v>
      </c>
      <c r="M45" s="640" t="s">
        <v>469</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470</v>
      </c>
      <c r="L46" s="639" t="s">
        <v>471</v>
      </c>
      <c r="M46" s="645"/>
      <c r="N46" s="646" t="s">
        <v>412</v>
      </c>
      <c r="O46" s="646" t="s">
        <v>192</v>
      </c>
      <c r="P46" s="646" t="s">
        <v>192</v>
      </c>
      <c r="Q46" s="646" t="s">
        <v>192</v>
      </c>
      <c r="R46" s="646" t="s">
        <v>412</v>
      </c>
      <c r="S46" s="646" t="s">
        <v>192</v>
      </c>
      <c r="T46" s="646" t="s">
        <v>192</v>
      </c>
      <c r="U46" s="646" t="s">
        <v>412</v>
      </c>
      <c r="V46" s="646" t="s">
        <v>192</v>
      </c>
      <c r="W46" s="646" t="s">
        <v>192</v>
      </c>
      <c r="X46" s="646" t="s">
        <v>420</v>
      </c>
      <c r="Y46" s="646" t="s">
        <v>412</v>
      </c>
      <c r="Z46" s="646" t="s">
        <v>192</v>
      </c>
      <c r="AA46" s="646" t="s">
        <v>192</v>
      </c>
      <c r="AB46" s="646" t="s">
        <v>412</v>
      </c>
      <c r="AC46" s="646" t="s">
        <v>192</v>
      </c>
      <c r="AD46" s="646" t="s">
        <v>412</v>
      </c>
      <c r="AE46" s="646" t="s">
        <v>192</v>
      </c>
      <c r="AF46" s="646" t="s">
        <v>192</v>
      </c>
      <c r="AG46" s="646" t="s">
        <v>192</v>
      </c>
      <c r="AH46" s="646" t="s">
        <v>192</v>
      </c>
      <c r="AI46" s="646" t="s">
        <v>412</v>
      </c>
      <c r="AJ46" s="646" t="s">
        <v>192</v>
      </c>
      <c r="AK46" s="646" t="s">
        <v>192</v>
      </c>
      <c r="AL46" s="646" t="s">
        <v>192</v>
      </c>
      <c r="AM46" s="646" t="s">
        <v>412</v>
      </c>
      <c r="AN46" s="646" t="s">
        <v>192</v>
      </c>
      <c r="AO46" s="646" t="s">
        <v>192</v>
      </c>
      <c r="AP46" s="646" t="s">
        <v>412</v>
      </c>
      <c r="AQ46" s="646" t="s">
        <v>192</v>
      </c>
      <c r="AR46" s="646" t="s">
        <v>616</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472</v>
      </c>
      <c r="L47" s="639" t="s">
        <v>471</v>
      </c>
      <c r="M47" s="645"/>
      <c r="N47" s="646" t="s">
        <v>412</v>
      </c>
      <c r="O47" s="646" t="s">
        <v>192</v>
      </c>
      <c r="P47" s="646" t="s">
        <v>192</v>
      </c>
      <c r="Q47" s="646" t="s">
        <v>192</v>
      </c>
      <c r="R47" s="646" t="s">
        <v>412</v>
      </c>
      <c r="S47" s="646" t="s">
        <v>192</v>
      </c>
      <c r="T47" s="646" t="s">
        <v>192</v>
      </c>
      <c r="U47" s="646" t="s">
        <v>412</v>
      </c>
      <c r="V47" s="646" t="s">
        <v>412</v>
      </c>
      <c r="W47" s="646" t="s">
        <v>192</v>
      </c>
      <c r="X47" s="646" t="s">
        <v>192</v>
      </c>
      <c r="Y47" s="646" t="s">
        <v>192</v>
      </c>
      <c r="Z47" s="646" t="s">
        <v>192</v>
      </c>
      <c r="AA47" s="646" t="s">
        <v>192</v>
      </c>
      <c r="AB47" s="646" t="s">
        <v>412</v>
      </c>
      <c r="AC47" s="646" t="s">
        <v>192</v>
      </c>
      <c r="AD47" s="646" t="s">
        <v>192</v>
      </c>
      <c r="AE47" s="646" t="s">
        <v>412</v>
      </c>
      <c r="AF47" s="646" t="s">
        <v>192</v>
      </c>
      <c r="AG47" s="646" t="s">
        <v>192</v>
      </c>
      <c r="AH47" s="646" t="s">
        <v>192</v>
      </c>
      <c r="AI47" s="646" t="s">
        <v>412</v>
      </c>
      <c r="AJ47" s="646" t="s">
        <v>192</v>
      </c>
      <c r="AK47" s="646" t="s">
        <v>192</v>
      </c>
      <c r="AL47" s="646" t="s">
        <v>192</v>
      </c>
      <c r="AM47" s="646" t="s">
        <v>192</v>
      </c>
      <c r="AN47" s="646" t="s">
        <v>192</v>
      </c>
      <c r="AO47" s="646" t="s">
        <v>412</v>
      </c>
      <c r="AP47" s="646" t="s">
        <v>412</v>
      </c>
      <c r="AQ47" s="646" t="s">
        <v>192</v>
      </c>
      <c r="AR47" s="646" t="s">
        <v>192</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471</v>
      </c>
      <c r="M48" s="645"/>
      <c r="N48" s="646" t="s">
        <v>192</v>
      </c>
      <c r="O48" s="646" t="s">
        <v>192</v>
      </c>
      <c r="P48" s="646" t="s">
        <v>192</v>
      </c>
      <c r="Q48" s="646" t="s">
        <v>412</v>
      </c>
      <c r="R48" s="646" t="s">
        <v>192</v>
      </c>
      <c r="S48" s="646" t="s">
        <v>192</v>
      </c>
      <c r="T48" s="646" t="s">
        <v>192</v>
      </c>
      <c r="U48" s="646" t="s">
        <v>192</v>
      </c>
      <c r="V48" s="646" t="s">
        <v>192</v>
      </c>
      <c r="W48" s="646" t="s">
        <v>192</v>
      </c>
      <c r="X48" s="646" t="s">
        <v>412</v>
      </c>
      <c r="Y48" s="646" t="s">
        <v>192</v>
      </c>
      <c r="Z48" s="646" t="s">
        <v>192</v>
      </c>
      <c r="AA48" s="646" t="s">
        <v>192</v>
      </c>
      <c r="AB48" s="646" t="s">
        <v>192</v>
      </c>
      <c r="AC48" s="646" t="s">
        <v>192</v>
      </c>
      <c r="AD48" s="646" t="s">
        <v>192</v>
      </c>
      <c r="AE48" s="646" t="s">
        <v>412</v>
      </c>
      <c r="AF48" s="646" t="s">
        <v>192</v>
      </c>
      <c r="AG48" s="646" t="s">
        <v>192</v>
      </c>
      <c r="AH48" s="646" t="s">
        <v>192</v>
      </c>
      <c r="AI48" s="646" t="s">
        <v>192</v>
      </c>
      <c r="AJ48" s="646" t="s">
        <v>192</v>
      </c>
      <c r="AK48" s="646" t="s">
        <v>192</v>
      </c>
      <c r="AL48" s="646" t="s">
        <v>412</v>
      </c>
      <c r="AM48" s="646" t="s">
        <v>192</v>
      </c>
      <c r="AN48" s="646" t="s">
        <v>192</v>
      </c>
      <c r="AO48" s="646" t="s">
        <v>192</v>
      </c>
      <c r="AP48" s="646" t="s">
        <v>192</v>
      </c>
      <c r="AQ48" s="646" t="s">
        <v>192</v>
      </c>
      <c r="AR48" s="646" t="s">
        <v>192</v>
      </c>
      <c r="AS48" s="647">
        <f t="array" ref="AS48">SUM(COUNTIF(N48:AR48, {"◎","〇","☆","共","特","浴"}))</f>
        <v>27</v>
      </c>
      <c r="AT48" s="648"/>
      <c r="AU48" s="649"/>
      <c r="AV48" s="649"/>
      <c r="AW48" s="649"/>
      <c r="AX48" s="649"/>
      <c r="AY48" s="649"/>
      <c r="AZ48" s="649"/>
      <c r="BA48" s="649"/>
      <c r="BB48" s="652" t="s">
        <v>617</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475</v>
      </c>
      <c r="L49" s="639" t="s">
        <v>471</v>
      </c>
      <c r="M49" s="645"/>
      <c r="N49" s="646" t="s">
        <v>192</v>
      </c>
      <c r="O49" s="646" t="s">
        <v>192</v>
      </c>
      <c r="P49" s="646" t="s">
        <v>192</v>
      </c>
      <c r="Q49" s="646" t="s">
        <v>192</v>
      </c>
      <c r="R49" s="646" t="s">
        <v>192</v>
      </c>
      <c r="S49" s="646" t="s">
        <v>412</v>
      </c>
      <c r="T49" s="646" t="s">
        <v>192</v>
      </c>
      <c r="U49" s="646" t="s">
        <v>192</v>
      </c>
      <c r="V49" s="646" t="s">
        <v>192</v>
      </c>
      <c r="W49" s="646" t="s">
        <v>192</v>
      </c>
      <c r="X49" s="646" t="s">
        <v>192</v>
      </c>
      <c r="Y49" s="646" t="s">
        <v>412</v>
      </c>
      <c r="Z49" s="646" t="s">
        <v>412</v>
      </c>
      <c r="AA49" s="646" t="s">
        <v>192</v>
      </c>
      <c r="AB49" s="646" t="s">
        <v>192</v>
      </c>
      <c r="AC49" s="646" t="s">
        <v>192</v>
      </c>
      <c r="AD49" s="646" t="s">
        <v>192</v>
      </c>
      <c r="AE49" s="646" t="s">
        <v>192</v>
      </c>
      <c r="AF49" s="646" t="s">
        <v>412</v>
      </c>
      <c r="AG49" s="646" t="s">
        <v>412</v>
      </c>
      <c r="AH49" s="646" t="s">
        <v>192</v>
      </c>
      <c r="AI49" s="646" t="s">
        <v>192</v>
      </c>
      <c r="AJ49" s="646" t="s">
        <v>192</v>
      </c>
      <c r="AK49" s="646" t="s">
        <v>192</v>
      </c>
      <c r="AL49" s="646" t="s">
        <v>192</v>
      </c>
      <c r="AM49" s="646" t="s">
        <v>412</v>
      </c>
      <c r="AN49" s="646" t="s">
        <v>412</v>
      </c>
      <c r="AO49" s="646" t="s">
        <v>192</v>
      </c>
      <c r="AP49" s="646" t="s">
        <v>192</v>
      </c>
      <c r="AQ49" s="646" t="s">
        <v>192</v>
      </c>
      <c r="AR49" s="646" t="s">
        <v>192</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474</v>
      </c>
      <c r="L50" s="639" t="s">
        <v>471</v>
      </c>
      <c r="M50" s="645"/>
      <c r="N50" s="646" t="s">
        <v>192</v>
      </c>
      <c r="O50" s="646" t="s">
        <v>412</v>
      </c>
      <c r="P50" s="646" t="s">
        <v>412</v>
      </c>
      <c r="Q50" s="646" t="s">
        <v>192</v>
      </c>
      <c r="R50" s="646" t="s">
        <v>192</v>
      </c>
      <c r="S50" s="646" t="s">
        <v>192</v>
      </c>
      <c r="T50" s="646" t="s">
        <v>192</v>
      </c>
      <c r="U50" s="646" t="s">
        <v>192</v>
      </c>
      <c r="V50" s="646" t="s">
        <v>412</v>
      </c>
      <c r="W50" s="646" t="s">
        <v>412</v>
      </c>
      <c r="X50" s="646" t="s">
        <v>192</v>
      </c>
      <c r="Y50" s="646" t="s">
        <v>192</v>
      </c>
      <c r="Z50" s="646" t="s">
        <v>192</v>
      </c>
      <c r="AA50" s="646" t="s">
        <v>192</v>
      </c>
      <c r="AB50" s="646" t="s">
        <v>192</v>
      </c>
      <c r="AC50" s="646" t="s">
        <v>412</v>
      </c>
      <c r="AD50" s="646" t="s">
        <v>412</v>
      </c>
      <c r="AE50" s="646" t="s">
        <v>192</v>
      </c>
      <c r="AF50" s="646" t="s">
        <v>192</v>
      </c>
      <c r="AG50" s="646" t="s">
        <v>192</v>
      </c>
      <c r="AH50" s="646" t="s">
        <v>192</v>
      </c>
      <c r="AI50" s="646" t="s">
        <v>192</v>
      </c>
      <c r="AJ50" s="646" t="s">
        <v>412</v>
      </c>
      <c r="AK50" s="646" t="s">
        <v>412</v>
      </c>
      <c r="AL50" s="646" t="s">
        <v>192</v>
      </c>
      <c r="AM50" s="646" t="s">
        <v>192</v>
      </c>
      <c r="AN50" s="646" t="s">
        <v>192</v>
      </c>
      <c r="AO50" s="646" t="s">
        <v>192</v>
      </c>
      <c r="AP50" s="646" t="s">
        <v>192</v>
      </c>
      <c r="AQ50" s="646" t="s">
        <v>412</v>
      </c>
      <c r="AR50" s="646" t="s">
        <v>412</v>
      </c>
      <c r="AS50" s="647">
        <f t="array" ref="AS50">SUM(COUNTIF(N50:AR50, {"◎","〇","☆","共","特","浴"}))</f>
        <v>21</v>
      </c>
      <c r="AT50" s="651"/>
      <c r="AU50" s="649"/>
      <c r="AV50" s="649"/>
      <c r="AW50" s="649"/>
      <c r="AX50" s="649"/>
      <c r="AY50" s="649"/>
      <c r="AZ50" s="649"/>
      <c r="BA50" s="649"/>
      <c r="BB50" s="652" t="s">
        <v>618</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480</v>
      </c>
      <c r="L51" s="639" t="s">
        <v>471</v>
      </c>
      <c r="M51" s="645"/>
      <c r="N51" s="646" t="s">
        <v>412</v>
      </c>
      <c r="O51" s="646" t="s">
        <v>192</v>
      </c>
      <c r="P51" s="646" t="s">
        <v>192</v>
      </c>
      <c r="Q51" s="646" t="s">
        <v>192</v>
      </c>
      <c r="R51" s="646" t="s">
        <v>192</v>
      </c>
      <c r="S51" s="646" t="s">
        <v>412</v>
      </c>
      <c r="T51" s="646" t="s">
        <v>412</v>
      </c>
      <c r="U51" s="646" t="s">
        <v>412</v>
      </c>
      <c r="V51" s="646" t="s">
        <v>192</v>
      </c>
      <c r="W51" s="646" t="s">
        <v>192</v>
      </c>
      <c r="X51" s="646" t="s">
        <v>192</v>
      </c>
      <c r="Y51" s="646" t="s">
        <v>192</v>
      </c>
      <c r="Z51" s="646" t="s">
        <v>412</v>
      </c>
      <c r="AA51" s="646" t="s">
        <v>412</v>
      </c>
      <c r="AB51" s="646" t="s">
        <v>412</v>
      </c>
      <c r="AC51" s="646" t="s">
        <v>192</v>
      </c>
      <c r="AD51" s="646" t="s">
        <v>192</v>
      </c>
      <c r="AE51" s="646" t="s">
        <v>192</v>
      </c>
      <c r="AF51" s="646" t="s">
        <v>192</v>
      </c>
      <c r="AG51" s="646" t="s">
        <v>412</v>
      </c>
      <c r="AH51" s="646" t="s">
        <v>412</v>
      </c>
      <c r="AI51" s="646" t="s">
        <v>412</v>
      </c>
      <c r="AJ51" s="646" t="s">
        <v>192</v>
      </c>
      <c r="AK51" s="646" t="s">
        <v>192</v>
      </c>
      <c r="AL51" s="646" t="s">
        <v>192</v>
      </c>
      <c r="AM51" s="646" t="s">
        <v>192</v>
      </c>
      <c r="AN51" s="646" t="s">
        <v>412</v>
      </c>
      <c r="AO51" s="646" t="s">
        <v>412</v>
      </c>
      <c r="AP51" s="646" t="s">
        <v>412</v>
      </c>
      <c r="AQ51" s="646" t="s">
        <v>192</v>
      </c>
      <c r="AR51" s="646" t="s">
        <v>192</v>
      </c>
      <c r="AS51" s="647">
        <f t="array" ref="AS51">SUM(COUNTIF(N51:AR51, {"◎","〇","☆","共","特","浴"}))</f>
        <v>18</v>
      </c>
      <c r="AT51" s="651"/>
      <c r="AU51" s="649"/>
      <c r="AV51" s="649"/>
      <c r="AW51" s="649"/>
      <c r="AX51" s="649"/>
      <c r="AY51" s="649"/>
      <c r="AZ51" s="649"/>
      <c r="BA51" s="649"/>
      <c r="BB51" s="652" t="s">
        <v>619</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487</v>
      </c>
      <c r="L52" s="639" t="s">
        <v>478</v>
      </c>
      <c r="M52" s="640"/>
      <c r="N52" s="646" t="s">
        <v>192</v>
      </c>
      <c r="O52" s="646" t="s">
        <v>412</v>
      </c>
      <c r="P52" s="646" t="s">
        <v>412</v>
      </c>
      <c r="Q52" s="646" t="s">
        <v>412</v>
      </c>
      <c r="R52" s="646" t="s">
        <v>412</v>
      </c>
      <c r="S52" s="646" t="s">
        <v>412</v>
      </c>
      <c r="T52" s="646" t="s">
        <v>412</v>
      </c>
      <c r="U52" s="646" t="s">
        <v>192</v>
      </c>
      <c r="V52" s="646" t="s">
        <v>412</v>
      </c>
      <c r="W52" s="646" t="s">
        <v>412</v>
      </c>
      <c r="X52" s="646" t="s">
        <v>412</v>
      </c>
      <c r="Y52" s="646" t="s">
        <v>412</v>
      </c>
      <c r="Z52" s="646" t="s">
        <v>412</v>
      </c>
      <c r="AA52" s="646" t="s">
        <v>412</v>
      </c>
      <c r="AB52" s="646" t="s">
        <v>192</v>
      </c>
      <c r="AC52" s="646" t="s">
        <v>412</v>
      </c>
      <c r="AD52" s="646" t="s">
        <v>412</v>
      </c>
      <c r="AE52" s="646" t="s">
        <v>412</v>
      </c>
      <c r="AF52" s="646" t="s">
        <v>412</v>
      </c>
      <c r="AG52" s="646" t="s">
        <v>412</v>
      </c>
      <c r="AH52" s="646" t="s">
        <v>412</v>
      </c>
      <c r="AI52" s="646" t="s">
        <v>192</v>
      </c>
      <c r="AJ52" s="646" t="s">
        <v>412</v>
      </c>
      <c r="AK52" s="646" t="s">
        <v>412</v>
      </c>
      <c r="AL52" s="646" t="s">
        <v>412</v>
      </c>
      <c r="AM52" s="646" t="s">
        <v>412</v>
      </c>
      <c r="AN52" s="646" t="s">
        <v>412</v>
      </c>
      <c r="AO52" s="646" t="s">
        <v>412</v>
      </c>
      <c r="AP52" s="646" t="s">
        <v>192</v>
      </c>
      <c r="AQ52" s="646" t="s">
        <v>412</v>
      </c>
      <c r="AR52" s="646" t="s">
        <v>192</v>
      </c>
      <c r="AS52" s="647">
        <f t="array" ref="AS52">SUM(COUNTIF(N52:AR52, {"◎","〇","☆","共","特","浴"}))</f>
        <v>6</v>
      </c>
      <c r="AT52" s="648"/>
      <c r="AU52" s="649"/>
      <c r="AV52" s="649"/>
      <c r="AW52" s="649"/>
      <c r="AX52" s="649"/>
      <c r="AY52" s="649"/>
      <c r="AZ52" s="649"/>
      <c r="BA52" s="649"/>
      <c r="BB52" s="652"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482</v>
      </c>
      <c r="L53" s="639" t="s">
        <v>471</v>
      </c>
      <c r="M53" s="640"/>
      <c r="N53" s="646" t="s">
        <v>192</v>
      </c>
      <c r="O53" s="646" t="s">
        <v>192</v>
      </c>
      <c r="P53" s="646" t="s">
        <v>192</v>
      </c>
      <c r="Q53" s="646" t="s">
        <v>412</v>
      </c>
      <c r="R53" s="646" t="s">
        <v>412</v>
      </c>
      <c r="S53" s="646" t="s">
        <v>412</v>
      </c>
      <c r="T53" s="646" t="s">
        <v>412</v>
      </c>
      <c r="U53" s="646" t="s">
        <v>192</v>
      </c>
      <c r="V53" s="646" t="s">
        <v>192</v>
      </c>
      <c r="W53" s="646" t="s">
        <v>192</v>
      </c>
      <c r="X53" s="646" t="s">
        <v>412</v>
      </c>
      <c r="Y53" s="646" t="s">
        <v>412</v>
      </c>
      <c r="Z53" s="646" t="s">
        <v>412</v>
      </c>
      <c r="AA53" s="646" t="s">
        <v>412</v>
      </c>
      <c r="AB53" s="646" t="s">
        <v>192</v>
      </c>
      <c r="AC53" s="646" t="s">
        <v>192</v>
      </c>
      <c r="AD53" s="646" t="s">
        <v>192</v>
      </c>
      <c r="AE53" s="646" t="s">
        <v>412</v>
      </c>
      <c r="AF53" s="646" t="s">
        <v>412</v>
      </c>
      <c r="AG53" s="646" t="s">
        <v>412</v>
      </c>
      <c r="AH53" s="646" t="s">
        <v>412</v>
      </c>
      <c r="AI53" s="646" t="s">
        <v>192</v>
      </c>
      <c r="AJ53" s="646" t="s">
        <v>192</v>
      </c>
      <c r="AK53" s="646" t="s">
        <v>192</v>
      </c>
      <c r="AL53" s="646" t="s">
        <v>412</v>
      </c>
      <c r="AM53" s="646" t="s">
        <v>412</v>
      </c>
      <c r="AN53" s="646" t="s">
        <v>412</v>
      </c>
      <c r="AO53" s="646" t="s">
        <v>412</v>
      </c>
      <c r="AP53" s="646" t="s">
        <v>192</v>
      </c>
      <c r="AQ53" s="646" t="s">
        <v>192</v>
      </c>
      <c r="AS53" s="647">
        <f t="array" ref="AS53">SUM(COUNTIF(N53:AR53, {"◎","〇","☆","共","特","浴"}))</f>
        <v>14</v>
      </c>
      <c r="AT53" s="648"/>
      <c r="AU53" s="649"/>
      <c r="AV53" s="649"/>
      <c r="AW53" s="649"/>
      <c r="AX53" s="649"/>
      <c r="AY53" s="649"/>
      <c r="AZ53" s="649"/>
      <c r="BA53" s="649"/>
      <c r="BB53" s="652" t="s">
        <v>620</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478</v>
      </c>
      <c r="M54" s="645"/>
      <c r="N54" s="646" t="s">
        <v>192</v>
      </c>
      <c r="O54" s="646" t="s">
        <v>412</v>
      </c>
      <c r="P54" s="646" t="s">
        <v>192</v>
      </c>
      <c r="Q54" s="646" t="s">
        <v>412</v>
      </c>
      <c r="R54" s="646" t="s">
        <v>412</v>
      </c>
      <c r="S54" s="646" t="s">
        <v>412</v>
      </c>
      <c r="T54" s="646" t="s">
        <v>192</v>
      </c>
      <c r="U54" s="646" t="s">
        <v>192</v>
      </c>
      <c r="V54" s="646" t="s">
        <v>412</v>
      </c>
      <c r="W54" s="646" t="s">
        <v>192</v>
      </c>
      <c r="X54" s="646" t="s">
        <v>412</v>
      </c>
      <c r="Y54" s="646" t="s">
        <v>412</v>
      </c>
      <c r="Z54" s="646" t="s">
        <v>412</v>
      </c>
      <c r="AA54" s="646" t="s">
        <v>192</v>
      </c>
      <c r="AB54" s="646" t="s">
        <v>192</v>
      </c>
      <c r="AC54" s="646" t="s">
        <v>412</v>
      </c>
      <c r="AD54" s="646" t="s">
        <v>192</v>
      </c>
      <c r="AE54" s="646" t="s">
        <v>192</v>
      </c>
      <c r="AF54" s="646" t="s">
        <v>412</v>
      </c>
      <c r="AG54" s="646" t="s">
        <v>412</v>
      </c>
      <c r="AH54" s="646" t="s">
        <v>192</v>
      </c>
      <c r="AI54" s="646" t="s">
        <v>192</v>
      </c>
      <c r="AJ54" s="646" t="s">
        <v>412</v>
      </c>
      <c r="AK54" s="646" t="s">
        <v>192</v>
      </c>
      <c r="AL54" s="646" t="s">
        <v>412</v>
      </c>
      <c r="AM54" s="646" t="s">
        <v>412</v>
      </c>
      <c r="AN54" s="646" t="s">
        <v>412</v>
      </c>
      <c r="AO54" s="646" t="s">
        <v>192</v>
      </c>
      <c r="AP54" s="646" t="s">
        <v>192</v>
      </c>
      <c r="AQ54" s="646" t="s">
        <v>412</v>
      </c>
      <c r="AR54" s="646" t="s">
        <v>192</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477</v>
      </c>
      <c r="L55" s="639" t="s">
        <v>478</v>
      </c>
      <c r="M55" s="645"/>
      <c r="N55" s="646" t="s">
        <v>412</v>
      </c>
      <c r="O55" s="646" t="s">
        <v>412</v>
      </c>
      <c r="P55" s="646" t="s">
        <v>412</v>
      </c>
      <c r="Q55" s="646" t="s">
        <v>192</v>
      </c>
      <c r="R55" s="646" t="s">
        <v>192</v>
      </c>
      <c r="S55" s="646" t="s">
        <v>192</v>
      </c>
      <c r="T55" s="646" t="s">
        <v>412</v>
      </c>
      <c r="U55" s="646" t="s">
        <v>412</v>
      </c>
      <c r="V55" s="646" t="s">
        <v>412</v>
      </c>
      <c r="W55" s="646" t="s">
        <v>412</v>
      </c>
      <c r="X55" s="646" t="s">
        <v>192</v>
      </c>
      <c r="Y55" s="646" t="s">
        <v>192</v>
      </c>
      <c r="Z55" s="646" t="s">
        <v>192</v>
      </c>
      <c r="AA55" s="646" t="s">
        <v>412</v>
      </c>
      <c r="AB55" s="646" t="s">
        <v>412</v>
      </c>
      <c r="AC55" s="646" t="s">
        <v>412</v>
      </c>
      <c r="AD55" s="646" t="s">
        <v>412</v>
      </c>
      <c r="AE55" s="646" t="s">
        <v>192</v>
      </c>
      <c r="AF55" s="646" t="s">
        <v>192</v>
      </c>
      <c r="AG55" s="646" t="s">
        <v>192</v>
      </c>
      <c r="AH55" s="646" t="s">
        <v>412</v>
      </c>
      <c r="AI55" s="646" t="s">
        <v>412</v>
      </c>
      <c r="AJ55" s="646" t="s">
        <v>412</v>
      </c>
      <c r="AK55" s="646" t="s">
        <v>412</v>
      </c>
      <c r="AL55" s="646" t="s">
        <v>192</v>
      </c>
      <c r="AM55" s="646" t="s">
        <v>192</v>
      </c>
      <c r="AN55" s="646" t="s">
        <v>192</v>
      </c>
      <c r="AO55" s="646" t="s">
        <v>412</v>
      </c>
      <c r="AP55" s="646" t="s">
        <v>412</v>
      </c>
      <c r="AQ55" s="646" t="s">
        <v>412</v>
      </c>
      <c r="AR55" s="646" t="s">
        <v>412</v>
      </c>
      <c r="AS55" s="647">
        <f t="array" ref="AS55">SUM(COUNTIF(N55:AR55, {"◎","〇","☆","共","特","浴"}))</f>
        <v>12</v>
      </c>
      <c r="AT55" s="651"/>
      <c r="AU55" s="649"/>
      <c r="AV55" s="649"/>
      <c r="AW55" s="649"/>
      <c r="AX55" s="649"/>
      <c r="AY55" s="649"/>
      <c r="AZ55" s="649"/>
      <c r="BA55" s="649"/>
      <c r="BB55" s="652" t="s">
        <v>621</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478</v>
      </c>
      <c r="M56" s="645"/>
      <c r="N56" s="646" t="s">
        <v>412</v>
      </c>
      <c r="O56" s="646" t="s">
        <v>412</v>
      </c>
      <c r="P56" s="646" t="s">
        <v>192</v>
      </c>
      <c r="Q56" s="646" t="s">
        <v>192</v>
      </c>
      <c r="R56" s="646" t="s">
        <v>412</v>
      </c>
      <c r="S56" s="646" t="s">
        <v>192</v>
      </c>
      <c r="T56" s="646" t="s">
        <v>192</v>
      </c>
      <c r="U56" s="646" t="s">
        <v>412</v>
      </c>
      <c r="V56" s="646" t="s">
        <v>412</v>
      </c>
      <c r="W56" s="646" t="s">
        <v>192</v>
      </c>
      <c r="X56" s="646" t="s">
        <v>192</v>
      </c>
      <c r="Y56" s="646" t="s">
        <v>412</v>
      </c>
      <c r="Z56" s="646" t="s">
        <v>192</v>
      </c>
      <c r="AA56" s="646" t="s">
        <v>192</v>
      </c>
      <c r="AB56" s="646" t="s">
        <v>412</v>
      </c>
      <c r="AC56" s="646" t="s">
        <v>412</v>
      </c>
      <c r="AD56" s="646" t="s">
        <v>192</v>
      </c>
      <c r="AE56" s="646" t="s">
        <v>192</v>
      </c>
      <c r="AF56" s="646" t="s">
        <v>412</v>
      </c>
      <c r="AG56" s="646" t="s">
        <v>192</v>
      </c>
      <c r="AH56" s="646" t="s">
        <v>192</v>
      </c>
      <c r="AI56" s="646" t="s">
        <v>412</v>
      </c>
      <c r="AJ56" s="646" t="s">
        <v>412</v>
      </c>
      <c r="AK56" s="646"/>
      <c r="AL56" s="646" t="s">
        <v>192</v>
      </c>
      <c r="AM56" s="646" t="s">
        <v>412</v>
      </c>
      <c r="AN56" s="646" t="s">
        <v>192</v>
      </c>
      <c r="AO56" s="646" t="s">
        <v>192</v>
      </c>
      <c r="AP56" s="646" t="s">
        <v>412</v>
      </c>
      <c r="AQ56" s="646" t="s">
        <v>412</v>
      </c>
      <c r="AR56" s="646" t="s">
        <v>192</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484</v>
      </c>
      <c r="L57" s="639" t="s">
        <v>478</v>
      </c>
      <c r="M57" s="645"/>
      <c r="N57" s="646" t="s">
        <v>192</v>
      </c>
      <c r="O57" s="646" t="s">
        <v>412</v>
      </c>
      <c r="P57" s="646" t="s">
        <v>192</v>
      </c>
      <c r="Q57" s="646" t="s">
        <v>412</v>
      </c>
      <c r="R57" s="646" t="s">
        <v>192</v>
      </c>
      <c r="S57" s="646" t="s">
        <v>192</v>
      </c>
      <c r="T57" s="646" t="s">
        <v>192</v>
      </c>
      <c r="U57" s="646" t="s">
        <v>192</v>
      </c>
      <c r="V57" s="646" t="s">
        <v>412</v>
      </c>
      <c r="W57" s="646" t="s">
        <v>192</v>
      </c>
      <c r="X57" s="646" t="s">
        <v>412</v>
      </c>
      <c r="Y57" s="646" t="s">
        <v>192</v>
      </c>
      <c r="Z57" s="646" t="s">
        <v>192</v>
      </c>
      <c r="AA57" s="646" t="s">
        <v>192</v>
      </c>
      <c r="AB57" s="646" t="s">
        <v>192</v>
      </c>
      <c r="AC57" s="646" t="s">
        <v>412</v>
      </c>
      <c r="AD57" s="646" t="s">
        <v>192</v>
      </c>
      <c r="AE57" s="646" t="s">
        <v>412</v>
      </c>
      <c r="AF57" s="646" t="s">
        <v>192</v>
      </c>
      <c r="AG57" s="646" t="s">
        <v>192</v>
      </c>
      <c r="AH57" s="646" t="s">
        <v>192</v>
      </c>
      <c r="AI57" s="646" t="s">
        <v>192</v>
      </c>
      <c r="AJ57" s="646" t="s">
        <v>412</v>
      </c>
      <c r="AK57" s="646" t="s">
        <v>192</v>
      </c>
      <c r="AL57" s="646" t="s">
        <v>412</v>
      </c>
      <c r="AM57" s="646" t="s">
        <v>192</v>
      </c>
      <c r="AN57" s="646" t="s">
        <v>192</v>
      </c>
      <c r="AO57" s="646" t="s">
        <v>192</v>
      </c>
      <c r="AP57" s="646" t="s">
        <v>192</v>
      </c>
      <c r="AQ57" s="646" t="s">
        <v>412</v>
      </c>
      <c r="AR57" s="646" t="s">
        <v>192</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478</v>
      </c>
      <c r="M58" s="645"/>
      <c r="N58" s="646" t="s">
        <v>192</v>
      </c>
      <c r="O58" s="646" t="s">
        <v>192</v>
      </c>
      <c r="P58" s="646" t="s">
        <v>412</v>
      </c>
      <c r="Q58" s="646" t="s">
        <v>412</v>
      </c>
      <c r="R58" s="646" t="s">
        <v>192</v>
      </c>
      <c r="S58" s="646" t="s">
        <v>412</v>
      </c>
      <c r="T58" s="646" t="s">
        <v>422</v>
      </c>
      <c r="U58" s="646" t="s">
        <v>422</v>
      </c>
      <c r="V58" s="646" t="s">
        <v>422</v>
      </c>
      <c r="W58" s="646" t="s">
        <v>412</v>
      </c>
      <c r="X58" s="646" t="s">
        <v>412</v>
      </c>
      <c r="Y58" s="646" t="s">
        <v>192</v>
      </c>
      <c r="Z58" s="646" t="s">
        <v>412</v>
      </c>
      <c r="AA58" s="646" t="s">
        <v>192</v>
      </c>
      <c r="AB58" s="646" t="s">
        <v>192</v>
      </c>
      <c r="AC58" s="646" t="s">
        <v>192</v>
      </c>
      <c r="AD58" s="646" t="s">
        <v>412</v>
      </c>
      <c r="AE58" s="646" t="s">
        <v>412</v>
      </c>
      <c r="AF58" s="646" t="s">
        <v>192</v>
      </c>
      <c r="AG58" s="646" t="s">
        <v>412</v>
      </c>
      <c r="AH58" s="646" t="s">
        <v>192</v>
      </c>
      <c r="AI58" s="646" t="s">
        <v>192</v>
      </c>
      <c r="AJ58" s="646" t="s">
        <v>192</v>
      </c>
      <c r="AK58" s="646" t="s">
        <v>412</v>
      </c>
      <c r="AL58" s="646" t="s">
        <v>412</v>
      </c>
      <c r="AM58" s="646" t="s">
        <v>192</v>
      </c>
      <c r="AN58" s="646" t="s">
        <v>412</v>
      </c>
      <c r="AO58" s="646" t="s">
        <v>192</v>
      </c>
      <c r="AP58" s="646" t="s">
        <v>192</v>
      </c>
      <c r="AQ58" s="646" t="s">
        <v>192</v>
      </c>
      <c r="AR58" s="646" t="s">
        <v>412</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478</v>
      </c>
      <c r="M59" s="645"/>
      <c r="N59" s="646" t="s">
        <v>192</v>
      </c>
      <c r="O59" s="646" t="s">
        <v>192</v>
      </c>
      <c r="P59" s="646" t="s">
        <v>412</v>
      </c>
      <c r="Q59" s="646" t="s">
        <v>412</v>
      </c>
      <c r="R59" s="646" t="s">
        <v>412</v>
      </c>
      <c r="S59" s="646" t="s">
        <v>192</v>
      </c>
      <c r="T59" s="646" t="s">
        <v>192</v>
      </c>
      <c r="U59" s="646" t="s">
        <v>192</v>
      </c>
      <c r="V59" s="646" t="s">
        <v>192</v>
      </c>
      <c r="W59" s="646" t="s">
        <v>412</v>
      </c>
      <c r="X59" s="646" t="s">
        <v>412</v>
      </c>
      <c r="Y59" s="646" t="s">
        <v>412</v>
      </c>
      <c r="Z59" s="646" t="s">
        <v>192</v>
      </c>
      <c r="AA59" s="646" t="s">
        <v>192</v>
      </c>
      <c r="AB59" s="646" t="s">
        <v>192</v>
      </c>
      <c r="AC59" s="646" t="s">
        <v>192</v>
      </c>
      <c r="AD59" s="646" t="s">
        <v>412</v>
      </c>
      <c r="AE59" s="646" t="s">
        <v>412</v>
      </c>
      <c r="AF59" s="646" t="s">
        <v>412</v>
      </c>
      <c r="AG59" s="646" t="s">
        <v>192</v>
      </c>
      <c r="AH59" s="646" t="s">
        <v>192</v>
      </c>
      <c r="AI59" s="646" t="s">
        <v>192</v>
      </c>
      <c r="AJ59" s="646" t="s">
        <v>192</v>
      </c>
      <c r="AK59" s="646" t="s">
        <v>412</v>
      </c>
      <c r="AL59" s="646" t="s">
        <v>412</v>
      </c>
      <c r="AM59" s="646" t="s">
        <v>412</v>
      </c>
      <c r="AN59" s="646" t="s">
        <v>192</v>
      </c>
      <c r="AO59" s="646" t="s">
        <v>192</v>
      </c>
      <c r="AP59" s="646" t="s">
        <v>192</v>
      </c>
      <c r="AQ59" s="646" t="s">
        <v>192</v>
      </c>
      <c r="AR59" s="646" t="s">
        <v>412</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529</v>
      </c>
      <c r="L60" s="639" t="s">
        <v>478</v>
      </c>
      <c r="M60" s="645"/>
      <c r="N60" s="646" t="s">
        <v>412</v>
      </c>
      <c r="O60" s="646" t="s">
        <v>412</v>
      </c>
      <c r="P60" s="646" t="s">
        <v>412</v>
      </c>
      <c r="Q60" s="646" t="s">
        <v>412</v>
      </c>
      <c r="R60" s="646" t="s">
        <v>192</v>
      </c>
      <c r="S60" s="646" t="s">
        <v>192</v>
      </c>
      <c r="T60" s="646" t="s">
        <v>192</v>
      </c>
      <c r="U60" s="646" t="s">
        <v>412</v>
      </c>
      <c r="V60" s="646" t="s">
        <v>412</v>
      </c>
      <c r="W60" s="646" t="s">
        <v>412</v>
      </c>
      <c r="X60" s="646" t="s">
        <v>412</v>
      </c>
      <c r="Y60" s="646" t="s">
        <v>192</v>
      </c>
      <c r="Z60" s="646" t="s">
        <v>192</v>
      </c>
      <c r="AA60" s="646" t="s">
        <v>192</v>
      </c>
      <c r="AB60" s="646" t="s">
        <v>412</v>
      </c>
      <c r="AC60" s="646" t="s">
        <v>412</v>
      </c>
      <c r="AD60" s="646" t="s">
        <v>412</v>
      </c>
      <c r="AE60" s="646" t="s">
        <v>412</v>
      </c>
      <c r="AF60" s="646" t="s">
        <v>192</v>
      </c>
      <c r="AG60" s="646" t="s">
        <v>192</v>
      </c>
      <c r="AH60" s="646" t="s">
        <v>192</v>
      </c>
      <c r="AI60" s="646" t="s">
        <v>412</v>
      </c>
      <c r="AJ60" s="646" t="s">
        <v>412</v>
      </c>
      <c r="AK60" s="646" t="s">
        <v>412</v>
      </c>
      <c r="AL60" s="646" t="s">
        <v>412</v>
      </c>
      <c r="AM60" s="646" t="s">
        <v>192</v>
      </c>
      <c r="AN60" s="646" t="s">
        <v>192</v>
      </c>
      <c r="AO60" s="646" t="s">
        <v>192</v>
      </c>
      <c r="AP60" s="646" t="s">
        <v>412</v>
      </c>
      <c r="AQ60" s="646" t="s">
        <v>412</v>
      </c>
      <c r="AR60" s="646" t="s">
        <v>412</v>
      </c>
      <c r="AS60" s="647">
        <f t="array" ref="AS60">SUM(COUNTIF(N60:AR60, {"◎","〇","☆","共","特","浴"}))</f>
        <v>12</v>
      </c>
      <c r="AT60" s="651"/>
      <c r="AU60" s="649"/>
      <c r="AV60" s="649"/>
      <c r="AW60" s="649"/>
      <c r="AX60" s="649"/>
      <c r="AY60" s="649"/>
      <c r="AZ60" s="649"/>
      <c r="BA60" s="649"/>
      <c r="BB60" s="652" t="s">
        <v>622</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485</v>
      </c>
      <c r="L61" s="639" t="s">
        <v>478</v>
      </c>
      <c r="M61" s="640"/>
      <c r="N61" s="646"/>
      <c r="O61" s="646"/>
      <c r="P61" s="646"/>
      <c r="Q61" s="646"/>
      <c r="R61" s="646"/>
      <c r="S61" s="646"/>
      <c r="T61" s="646"/>
      <c r="U61" s="646"/>
      <c r="V61" s="646"/>
      <c r="W61" s="646"/>
      <c r="X61" s="646"/>
      <c r="Y61" s="646"/>
      <c r="Z61" s="646" t="s">
        <v>192</v>
      </c>
      <c r="AA61" s="646"/>
      <c r="AB61" s="646"/>
      <c r="AC61" s="646" t="s">
        <v>192</v>
      </c>
      <c r="AD61" s="646"/>
      <c r="AE61" s="646" t="s">
        <v>192</v>
      </c>
      <c r="AF61" s="646" t="s">
        <v>192</v>
      </c>
      <c r="AG61" s="646" t="s">
        <v>192</v>
      </c>
      <c r="AH61" s="646"/>
      <c r="AI61" s="646"/>
      <c r="AJ61" s="646" t="s">
        <v>192</v>
      </c>
      <c r="AK61" s="646"/>
      <c r="AL61" s="646"/>
      <c r="AM61" s="646"/>
      <c r="AN61" s="646" t="s">
        <v>192</v>
      </c>
      <c r="AO61" s="646"/>
      <c r="AP61" s="646"/>
      <c r="AQ61" s="646" t="s">
        <v>192</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486</v>
      </c>
      <c r="L62" s="639" t="s">
        <v>478</v>
      </c>
      <c r="M62" s="645"/>
      <c r="N62" s="646"/>
      <c r="O62" s="646"/>
      <c r="P62" s="646"/>
      <c r="Q62" s="646"/>
      <c r="R62" s="646"/>
      <c r="S62" s="646"/>
      <c r="T62" s="646"/>
      <c r="U62" s="646"/>
      <c r="V62" s="646"/>
      <c r="W62" s="646"/>
      <c r="X62" s="646"/>
      <c r="Y62" s="646"/>
      <c r="Z62" s="646"/>
      <c r="AA62" s="646"/>
      <c r="AB62" s="646"/>
      <c r="AC62" s="646"/>
      <c r="AD62" s="646" t="s">
        <v>192</v>
      </c>
      <c r="AE62" s="646"/>
      <c r="AF62" s="646"/>
      <c r="AG62" s="646"/>
      <c r="AH62" s="646"/>
      <c r="AI62" s="646"/>
      <c r="AJ62" s="646"/>
      <c r="AK62" s="646" t="s">
        <v>192</v>
      </c>
      <c r="AL62" s="646" t="s">
        <v>192</v>
      </c>
      <c r="AM62" s="646"/>
      <c r="AN62" s="646"/>
      <c r="AO62" s="646"/>
      <c r="AP62" s="646"/>
      <c r="AQ62" s="646"/>
      <c r="AR62" s="646" t="s">
        <v>192</v>
      </c>
      <c r="AS62" s="647">
        <f t="array" ref="AS62">SUM(COUNTIF(N62:AR62, {"◎","〇","☆","共","特","浴"}))</f>
        <v>4</v>
      </c>
      <c r="AT62" s="651"/>
      <c r="AU62" s="649"/>
      <c r="AV62" s="649"/>
      <c r="AW62" s="649"/>
      <c r="AX62" s="649"/>
      <c r="AY62" s="649"/>
      <c r="AZ62" s="649"/>
      <c r="BA62" s="649"/>
      <c r="BB62" s="652" t="s">
        <v>623</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520</v>
      </c>
      <c r="L63" s="639"/>
      <c r="M63" s="645"/>
      <c r="N63" s="646" t="s">
        <v>418</v>
      </c>
      <c r="O63" s="646" t="s">
        <v>412</v>
      </c>
      <c r="P63" s="646" t="s">
        <v>412</v>
      </c>
      <c r="Q63" s="646" t="s">
        <v>412</v>
      </c>
      <c r="R63" s="646" t="s">
        <v>412</v>
      </c>
      <c r="S63" s="646" t="s">
        <v>412</v>
      </c>
      <c r="T63" s="646" t="s">
        <v>624</v>
      </c>
      <c r="U63" s="646" t="s">
        <v>624</v>
      </c>
      <c r="V63" s="646" t="s">
        <v>412</v>
      </c>
      <c r="W63" s="646" t="s">
        <v>412</v>
      </c>
      <c r="X63" s="646" t="s">
        <v>412</v>
      </c>
      <c r="Y63" s="646" t="s">
        <v>412</v>
      </c>
      <c r="Z63" s="646" t="s">
        <v>412</v>
      </c>
      <c r="AA63" s="646" t="s">
        <v>624</v>
      </c>
      <c r="AB63" s="646" t="s">
        <v>624</v>
      </c>
      <c r="AC63" s="646" t="s">
        <v>412</v>
      </c>
      <c r="AD63" s="646" t="s">
        <v>412</v>
      </c>
      <c r="AE63" s="646" t="s">
        <v>412</v>
      </c>
      <c r="AF63" s="646" t="s">
        <v>412</v>
      </c>
      <c r="AG63" s="646" t="s">
        <v>412</v>
      </c>
      <c r="AH63" s="646" t="s">
        <v>624</v>
      </c>
      <c r="AI63" s="646" t="s">
        <v>624</v>
      </c>
      <c r="AJ63" s="646" t="s">
        <v>412</v>
      </c>
      <c r="AK63" s="646" t="s">
        <v>412</v>
      </c>
      <c r="AL63" s="646" t="s">
        <v>412</v>
      </c>
      <c r="AM63" s="646" t="s">
        <v>412</v>
      </c>
      <c r="AN63" s="646" t="s">
        <v>412</v>
      </c>
      <c r="AO63" s="646" t="s">
        <v>624</v>
      </c>
      <c r="AP63" s="646" t="s">
        <v>624</v>
      </c>
      <c r="AQ63" s="646" t="s">
        <v>412</v>
      </c>
      <c r="AR63" s="646" t="s">
        <v>412</v>
      </c>
      <c r="AS63" s="647">
        <f t="array" ref="AS63">SUM(COUNTIF(N63:AR63, {"◎","〇","☆","共","特","浴"}))</f>
        <v>0</v>
      </c>
      <c r="AT63" s="651"/>
      <c r="AU63" s="649"/>
      <c r="AV63" s="649"/>
      <c r="AW63" s="649"/>
      <c r="AX63" s="649"/>
      <c r="AY63" s="649"/>
      <c r="AZ63" s="649"/>
      <c r="BA63" s="649"/>
      <c r="BB63" s="652" t="s">
        <v>625</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490</v>
      </c>
      <c r="L64" s="639"/>
      <c r="M64" s="645"/>
      <c r="N64" s="646" t="s">
        <v>626</v>
      </c>
      <c r="O64" s="646" t="s">
        <v>626</v>
      </c>
      <c r="P64" s="646" t="s">
        <v>412</v>
      </c>
      <c r="Q64" s="646" t="s">
        <v>412</v>
      </c>
      <c r="R64" s="646" t="s">
        <v>626</v>
      </c>
      <c r="S64" s="646" t="s">
        <v>626</v>
      </c>
      <c r="T64" s="646" t="s">
        <v>412</v>
      </c>
      <c r="U64" s="646" t="s">
        <v>626</v>
      </c>
      <c r="V64" s="646" t="s">
        <v>626</v>
      </c>
      <c r="W64" s="646" t="s">
        <v>412</v>
      </c>
      <c r="X64" s="646" t="s">
        <v>412</v>
      </c>
      <c r="Y64" s="646" t="s">
        <v>626</v>
      </c>
      <c r="Z64" s="646" t="s">
        <v>626</v>
      </c>
      <c r="AA64" s="646" t="s">
        <v>412</v>
      </c>
      <c r="AB64" s="646" t="s">
        <v>626</v>
      </c>
      <c r="AC64" s="646" t="s">
        <v>626</v>
      </c>
      <c r="AD64" s="646" t="s">
        <v>412</v>
      </c>
      <c r="AE64" s="646" t="s">
        <v>412</v>
      </c>
      <c r="AF64" s="646" t="s">
        <v>626</v>
      </c>
      <c r="AG64" s="646" t="s">
        <v>626</v>
      </c>
      <c r="AH64" s="646" t="s">
        <v>412</v>
      </c>
      <c r="AI64" s="646" t="s">
        <v>626</v>
      </c>
      <c r="AJ64" s="646" t="s">
        <v>626</v>
      </c>
      <c r="AK64" s="646" t="s">
        <v>412</v>
      </c>
      <c r="AL64" s="646" t="s">
        <v>412</v>
      </c>
      <c r="AM64" s="646" t="s">
        <v>626</v>
      </c>
      <c r="AN64" s="646" t="s">
        <v>626</v>
      </c>
      <c r="AO64" s="646" t="s">
        <v>412</v>
      </c>
      <c r="AP64" s="646" t="s">
        <v>626</v>
      </c>
      <c r="AQ64" s="646" t="s">
        <v>626</v>
      </c>
      <c r="AR64" s="646" t="s">
        <v>412</v>
      </c>
      <c r="AS64" s="647">
        <f t="array" ref="AS64">SUM(COUNTIF(N64:AR64, {"◎","〇","☆","共","特","浴"}))</f>
        <v>0</v>
      </c>
      <c r="AT64" s="651"/>
      <c r="AU64" s="649"/>
      <c r="AV64" s="649"/>
      <c r="AW64" s="649"/>
      <c r="AX64" s="649"/>
      <c r="AY64" s="649"/>
      <c r="AZ64" s="649"/>
      <c r="BA64" s="649"/>
      <c r="BB64" s="652" t="s">
        <v>627</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492</v>
      </c>
      <c r="L65" s="639"/>
      <c r="M65" s="640" t="s">
        <v>628</v>
      </c>
      <c r="N65" s="646" t="s">
        <v>412</v>
      </c>
      <c r="O65" s="646" t="s">
        <v>412</v>
      </c>
      <c r="P65" s="646" t="s">
        <v>626</v>
      </c>
      <c r="Q65" s="646" t="s">
        <v>626</v>
      </c>
      <c r="R65" s="646" t="s">
        <v>412</v>
      </c>
      <c r="S65" s="646" t="s">
        <v>412</v>
      </c>
      <c r="T65" s="646" t="s">
        <v>412</v>
      </c>
      <c r="U65" s="646" t="s">
        <v>412</v>
      </c>
      <c r="V65" s="646" t="s">
        <v>412</v>
      </c>
      <c r="W65" s="646" t="s">
        <v>626</v>
      </c>
      <c r="X65" s="646" t="s">
        <v>626</v>
      </c>
      <c r="Y65" s="646" t="s">
        <v>412</v>
      </c>
      <c r="Z65" s="646" t="s">
        <v>412</v>
      </c>
      <c r="AA65" s="646" t="s">
        <v>412</v>
      </c>
      <c r="AB65" s="646" t="s">
        <v>412</v>
      </c>
      <c r="AC65" s="646" t="s">
        <v>412</v>
      </c>
      <c r="AD65" s="646" t="s">
        <v>626</v>
      </c>
      <c r="AE65" s="646" t="s">
        <v>626</v>
      </c>
      <c r="AF65" s="646" t="s">
        <v>412</v>
      </c>
      <c r="AG65" s="646" t="s">
        <v>412</v>
      </c>
      <c r="AH65" s="646" t="s">
        <v>412</v>
      </c>
      <c r="AI65" s="646" t="s">
        <v>412</v>
      </c>
      <c r="AJ65" s="646" t="s">
        <v>412</v>
      </c>
      <c r="AK65" s="646" t="s">
        <v>626</v>
      </c>
      <c r="AL65" s="646" t="s">
        <v>626</v>
      </c>
      <c r="AM65" s="646" t="s">
        <v>412</v>
      </c>
      <c r="AN65" s="646" t="s">
        <v>412</v>
      </c>
      <c r="AO65" s="646" t="s">
        <v>412</v>
      </c>
      <c r="AP65" s="646" t="s">
        <v>412</v>
      </c>
      <c r="AQ65" s="646" t="s">
        <v>412</v>
      </c>
      <c r="AR65" s="646" t="s">
        <v>626</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t="s">
        <v>496</v>
      </c>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629</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46082.0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3</v>
      </c>
      <c r="W7" s="704"/>
      <c r="X7" s="695" t="s">
        <v>516</v>
      </c>
      <c r="Y7" s="661"/>
      <c r="Z7" s="661"/>
    </row>
    <row r="8" ht="17.25" customHeight="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3">xlookup(V7, '🏆皆勤アワード'!P2:DV2,'🏆皆勤アワード'!R5:DX100)</f>
        <v>宇佐見</v>
      </c>
      <c r="W8" s="716"/>
      <c r="X8" s="717">
        <v>46054.0</v>
      </c>
      <c r="Y8" s="661"/>
      <c r="Z8" s="661"/>
    </row>
    <row r="9" outlineLevel="1">
      <c r="A9" s="661"/>
      <c r="B9" s="718"/>
      <c r="C9" s="719">
        <f>D5</f>
        <v>46082</v>
      </c>
      <c r="D9" s="720" t="str">
        <f>TEXT(C9,"ddd")</f>
        <v>日</v>
      </c>
      <c r="E9" s="721"/>
      <c r="F9" s="722" t="s">
        <v>142</v>
      </c>
      <c r="G9" s="723" t="s">
        <v>630</v>
      </c>
      <c r="H9" s="724"/>
      <c r="I9" s="725">
        <v>0.7083333333333334</v>
      </c>
      <c r="J9" s="724" t="s">
        <v>631</v>
      </c>
      <c r="K9" s="724" t="s">
        <v>632</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171</v>
      </c>
      <c r="W9" s="716"/>
      <c r="X9" s="717">
        <v>46082.0</v>
      </c>
      <c r="Y9" s="661"/>
      <c r="Z9" s="661"/>
    </row>
    <row r="10"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454</v>
      </c>
      <c r="W10" s="716"/>
      <c r="X10" s="717">
        <v>46113.0</v>
      </c>
      <c r="Y10" s="661"/>
      <c r="Z10" s="661"/>
    </row>
    <row r="1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456</v>
      </c>
      <c r="W11" s="716"/>
      <c r="X11" s="717">
        <v>46143.0</v>
      </c>
      <c r="Y11" s="661"/>
      <c r="Z11" s="661"/>
    </row>
    <row r="12"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458</v>
      </c>
      <c r="W12" s="716"/>
      <c r="X12" s="717">
        <v>46174.0</v>
      </c>
      <c r="Y12" s="661"/>
      <c r="Z12" s="661"/>
    </row>
    <row r="13"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519</v>
      </c>
      <c r="W13" s="716"/>
      <c r="X13" s="717">
        <v>46204.0</v>
      </c>
      <c r="Y13" s="661"/>
      <c r="Z13" s="661"/>
    </row>
    <row r="14"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492</v>
      </c>
      <c r="W14" s="716"/>
      <c r="X14" s="717">
        <v>46235.0</v>
      </c>
      <c r="Y14" s="661"/>
      <c r="Z14" s="661"/>
    </row>
    <row r="15"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460</v>
      </c>
      <c r="W15" s="716"/>
      <c r="X15" s="717">
        <v>46266.0</v>
      </c>
      <c r="Y15" s="661"/>
      <c r="Z15" s="661"/>
    </row>
    <row r="16"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463</v>
      </c>
      <c r="W16" s="716"/>
      <c r="X16" s="717">
        <v>46296.0</v>
      </c>
      <c r="Y16" s="661"/>
      <c r="Z16" s="661"/>
    </row>
    <row r="17"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472</v>
      </c>
      <c r="W17" s="716"/>
      <c r="X17" s="717">
        <v>46327.0</v>
      </c>
      <c r="Y17" s="661"/>
      <c r="Z17" s="661"/>
    </row>
    <row r="18"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470</v>
      </c>
      <c r="W18" s="716"/>
      <c r="X18" s="717">
        <v>46357.0</v>
      </c>
      <c r="Y18" s="661"/>
      <c r="Z18" s="661"/>
    </row>
    <row r="19" ht="18.0" customHeight="1" outlineLevel="1">
      <c r="B19" s="738"/>
      <c r="C19" s="697"/>
      <c r="D19" s="697"/>
      <c r="E19" s="697"/>
      <c r="F19" s="739" t="s">
        <v>521</v>
      </c>
      <c r="G19" s="740" t="s">
        <v>633</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113</v>
      </c>
      <c r="W19" s="716"/>
      <c r="X19" s="717">
        <v>46388.0</v>
      </c>
      <c r="Y19" s="661"/>
      <c r="Z19" s="661"/>
    </row>
    <row r="20" ht="24.0" customHeight="1" outlineLevel="1">
      <c r="A20" s="661"/>
      <c r="B20" s="743"/>
      <c r="C20" s="744">
        <f>IF(C9="","",IF(DAY(C9+1)=1,"",C9+1))</f>
        <v>46083</v>
      </c>
      <c r="D20" s="745" t="str">
        <f>TEXT(C20,"ddd")</f>
        <v>月</v>
      </c>
      <c r="E20" s="746"/>
      <c r="F20" s="747" t="s">
        <v>142</v>
      </c>
      <c r="G20" s="748" t="s">
        <v>634</v>
      </c>
      <c r="H20" s="749"/>
      <c r="I20" s="750">
        <v>0.6458333333333334</v>
      </c>
      <c r="J20" s="749">
        <v>9.0</v>
      </c>
      <c r="K20" s="749">
        <v>3.0</v>
      </c>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482</v>
      </c>
      <c r="W20" s="716"/>
      <c r="X20" s="717"/>
      <c r="Y20" s="661"/>
      <c r="Z20" s="661"/>
    </row>
    <row r="21" ht="24.0"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477</v>
      </c>
      <c r="W21" s="716"/>
      <c r="X21" s="717"/>
      <c r="Y21" s="661"/>
      <c r="Z21" s="661"/>
    </row>
    <row r="22" ht="24.0"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475</v>
      </c>
      <c r="W22" s="716"/>
      <c r="X22" s="717"/>
      <c r="Y22" s="661"/>
      <c r="Z22" s="661"/>
    </row>
    <row r="23" ht="24.0"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474</v>
      </c>
      <c r="W23" s="661"/>
      <c r="X23" s="756"/>
      <c r="Y23" s="661"/>
      <c r="Z23" s="661"/>
    </row>
    <row r="24" ht="24.0"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112</v>
      </c>
      <c r="W24" s="661"/>
      <c r="X24" s="756"/>
      <c r="Y24" s="661"/>
      <c r="Z24" s="661"/>
    </row>
    <row r="25" ht="24.0"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480</v>
      </c>
      <c r="W25" s="661"/>
      <c r="X25" s="756"/>
      <c r="Y25" s="661"/>
      <c r="Z25" s="661"/>
    </row>
    <row r="26" ht="24.0"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487</v>
      </c>
      <c r="W26" s="661"/>
      <c r="X26" s="756"/>
      <c r="Y26" s="661"/>
      <c r="Z26" s="661"/>
    </row>
    <row r="27" ht="24.0"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165</v>
      </c>
      <c r="W27" s="661"/>
      <c r="X27" s="756"/>
      <c r="Y27" s="661"/>
      <c r="Z27" s="661"/>
    </row>
    <row r="28" ht="24.0"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159</v>
      </c>
      <c r="W28" s="661"/>
      <c r="X28" s="756"/>
      <c r="Y28" s="661"/>
      <c r="Z28" s="661"/>
    </row>
    <row r="29" ht="24.0"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484</v>
      </c>
      <c r="W29" s="661"/>
      <c r="X29" s="756"/>
      <c r="Y29" s="661"/>
      <c r="Z29" s="661"/>
    </row>
    <row r="30" ht="18.0" customHeight="1" outlineLevel="1">
      <c r="A30" s="661"/>
      <c r="B30" s="738"/>
      <c r="C30" s="697"/>
      <c r="D30" s="697"/>
      <c r="E30" s="697"/>
      <c r="F30" s="757" t="s">
        <v>521</v>
      </c>
      <c r="G30" s="758" t="s">
        <v>635</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125</v>
      </c>
      <c r="W30" s="661"/>
      <c r="X30" s="756"/>
      <c r="Y30" s="661"/>
      <c r="Z30" s="661"/>
    </row>
    <row r="31" ht="17.25" customHeight="1" outlineLevel="1">
      <c r="A31" s="661"/>
      <c r="B31" s="760"/>
      <c r="C31" s="761">
        <f>IF(C20="","",IF(DAY(C20+1)=1,"",C20+1))</f>
        <v>46084</v>
      </c>
      <c r="D31" s="762" t="str">
        <f>TEXT(C31,"ddd")</f>
        <v>火</v>
      </c>
      <c r="E31" s="763"/>
      <c r="F31" s="764" t="s">
        <v>142</v>
      </c>
      <c r="G31" s="765" t="s">
        <v>636</v>
      </c>
      <c r="H31" s="766"/>
      <c r="I31" s="767">
        <v>0.0</v>
      </c>
      <c r="J31" s="766" t="s">
        <v>539</v>
      </c>
      <c r="K31" s="766" t="s">
        <v>540</v>
      </c>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485</v>
      </c>
      <c r="W31" s="661"/>
      <c r="X31" s="756"/>
      <c r="Y31" s="661"/>
      <c r="Z31" s="661"/>
    </row>
    <row r="32" ht="17.25" customHeight="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73" t="s">
        <v>486</v>
      </c>
      <c r="W32" s="661"/>
      <c r="X32" s="756"/>
      <c r="Y32" s="661"/>
      <c r="Z32" s="661"/>
    </row>
    <row r="33" ht="17.25" customHeight="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520</v>
      </c>
      <c r="W33" s="661"/>
      <c r="X33" s="756"/>
      <c r="Y33" s="661"/>
      <c r="Z33" s="661"/>
    </row>
    <row r="34" ht="17.25" customHeight="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525</v>
      </c>
      <c r="W34" s="661"/>
      <c r="X34" s="756"/>
      <c r="Y34" s="661"/>
      <c r="Z34" s="661"/>
    </row>
    <row r="35" ht="17.25" customHeight="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529</v>
      </c>
      <c r="W35" s="661"/>
      <c r="X35" s="756"/>
      <c r="Y35" s="661"/>
      <c r="Z35" s="661"/>
    </row>
    <row r="36" ht="17.25" customHeight="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637</v>
      </c>
      <c r="W36" s="661"/>
      <c r="X36" s="756"/>
      <c r="Y36" s="661"/>
      <c r="Z36" s="661"/>
    </row>
    <row r="37" ht="17.25" customHeight="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120</v>
      </c>
      <c r="W37" s="661"/>
      <c r="X37" s="756"/>
      <c r="Y37" s="661"/>
      <c r="Z37" s="661"/>
    </row>
    <row r="38" ht="17.25" customHeight="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c r="W38" s="661"/>
      <c r="X38" s="756"/>
      <c r="Y38" s="661"/>
      <c r="Z38" s="661"/>
    </row>
    <row r="39" ht="17.25" customHeight="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73"/>
      <c r="W39" s="661"/>
      <c r="X39" s="756"/>
      <c r="Y39" s="661"/>
      <c r="Z39" s="661"/>
    </row>
    <row r="40" ht="17.25" customHeight="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3"/>
      <c r="W40" s="661"/>
      <c r="X40" s="756"/>
      <c r="Y40" s="661"/>
      <c r="Z40" s="661"/>
    </row>
    <row r="41" ht="18.0" customHeight="1" outlineLevel="1">
      <c r="A41" s="661"/>
      <c r="B41" s="738"/>
      <c r="C41" s="697"/>
      <c r="D41" s="697"/>
      <c r="E41" s="697"/>
      <c r="F41" s="739" t="s">
        <v>521</v>
      </c>
      <c r="G41" s="740" t="s">
        <v>638</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3"/>
      <c r="W41" s="661"/>
      <c r="X41" s="756"/>
      <c r="Y41" s="661"/>
      <c r="Z41" s="661"/>
    </row>
    <row r="42" ht="49.5" customHeight="1" outlineLevel="1">
      <c r="A42" s="661"/>
      <c r="B42" s="743"/>
      <c r="C42" s="744">
        <f>IF(C31="","",IF(DAY(C31+1)=1,"",C31+1))</f>
        <v>46085</v>
      </c>
      <c r="D42" s="745" t="str">
        <f>TEXT(C42,"ddd")</f>
        <v>水</v>
      </c>
      <c r="E42" s="746"/>
      <c r="F42" s="774" t="s">
        <v>132</v>
      </c>
      <c r="G42" s="775" t="s">
        <v>639</v>
      </c>
      <c r="H42" s="776"/>
      <c r="I42" s="777">
        <v>0.65625</v>
      </c>
      <c r="J42" s="776">
        <v>6.0</v>
      </c>
      <c r="K42" s="776">
        <v>3.0</v>
      </c>
      <c r="L42" s="754" t="s">
        <v>472</v>
      </c>
      <c r="M42" s="754" t="s">
        <v>640</v>
      </c>
      <c r="N42" s="774" t="s">
        <v>641</v>
      </c>
      <c r="O42" s="778"/>
      <c r="P42" s="770"/>
      <c r="Q42" s="771"/>
      <c r="R42" s="661"/>
      <c r="S42" s="228" t="str">
        <f t="array" ref="S42">IFERROR(INDEX('💻シート作成'!$D$6:$D1001, MATCH(T42, '💻シート作成'!$E$6:$E1001, 0)), "")</f>
        <v>6月</v>
      </c>
      <c r="T42" s="172" t="str">
        <f>IFERROR(__xludf.DUMMYFUNCTION("""COMPUTED_VALUE"""),"③R8_6日報")</f>
        <v>③R8_6日報</v>
      </c>
      <c r="U42" s="664"/>
      <c r="V42" s="773"/>
      <c r="W42" s="661"/>
      <c r="X42" s="756"/>
      <c r="Y42" s="661"/>
      <c r="Z42" s="661"/>
    </row>
    <row r="43" ht="49.5" customHeight="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c r="W43" s="661"/>
      <c r="X43" s="756"/>
      <c r="Y43" s="661"/>
      <c r="Z43" s="661"/>
    </row>
    <row r="44" ht="49.5" customHeight="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73"/>
      <c r="W44" s="661"/>
      <c r="X44" s="756"/>
      <c r="Y44" s="661"/>
      <c r="Z44" s="661"/>
    </row>
    <row r="45" ht="49.5" customHeight="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t="49.5" customHeight="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t="49.5" customHeight="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t="49.5" customHeight="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t="49.5" customHeight="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t="49.5" customHeight="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t="49.5" customHeight="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customHeight="1" outlineLevel="1">
      <c r="A52" s="661"/>
      <c r="B52" s="738"/>
      <c r="C52" s="697"/>
      <c r="D52" s="697"/>
      <c r="E52" s="697"/>
      <c r="F52" s="757" t="s">
        <v>521</v>
      </c>
      <c r="G52" s="758" t="s">
        <v>642</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t="65.25" customHeight="1" outlineLevel="1">
      <c r="A53" s="661"/>
      <c r="B53" s="760"/>
      <c r="C53" s="761">
        <f>IF(C42="","",IF(DAY(C42+1)=1,"",C42+1))</f>
        <v>46086</v>
      </c>
      <c r="D53" s="762" t="str">
        <f>TEXT(C53,"ddd")</f>
        <v>木</v>
      </c>
      <c r="E53" s="763"/>
      <c r="F53" s="764" t="s">
        <v>132</v>
      </c>
      <c r="G53" s="765" t="s">
        <v>643</v>
      </c>
      <c r="H53" s="766"/>
      <c r="I53" s="767">
        <v>0.6666666666666666</v>
      </c>
      <c r="J53" s="766">
        <v>6.0</v>
      </c>
      <c r="K53" s="766">
        <v>3.0</v>
      </c>
      <c r="L53" s="768" t="s">
        <v>529</v>
      </c>
      <c r="M53" s="768" t="s">
        <v>644</v>
      </c>
      <c r="N53" s="764" t="s">
        <v>645</v>
      </c>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t="65.25" customHeight="1" outlineLevel="1">
      <c r="A54" s="661"/>
      <c r="B54" s="729"/>
      <c r="C54" s="730"/>
      <c r="D54" s="730"/>
      <c r="E54" s="730"/>
      <c r="F54" s="730"/>
      <c r="G54" s="731"/>
      <c r="H54" s="730"/>
      <c r="I54" s="730"/>
      <c r="J54" s="730"/>
      <c r="K54" s="730"/>
      <c r="L54" s="768" t="s">
        <v>484</v>
      </c>
      <c r="M54" s="768" t="s">
        <v>646</v>
      </c>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t="65.25" customHeight="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t="65.25" customHeight="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t="65.25" customHeight="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t="65.25" customHeight="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t="65.25" customHeight="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t="65.25" customHeight="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t="65.25" customHeight="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65.25" customHeight="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customHeight="1" outlineLevel="1">
      <c r="A63" s="661"/>
      <c r="B63" s="738"/>
      <c r="C63" s="697"/>
      <c r="D63" s="697"/>
      <c r="E63" s="697"/>
      <c r="F63" s="739" t="s">
        <v>521</v>
      </c>
      <c r="G63" s="740" t="s">
        <v>647</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 r="A64" s="661"/>
      <c r="B64" s="779" t="s">
        <v>537</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outlineLevel="1">
      <c r="A65" s="661"/>
      <c r="B65" s="743"/>
      <c r="C65" s="744">
        <f>IF(C53="","",IF(DAY(C53+1)=1,"",C53+1))</f>
        <v>46087</v>
      </c>
      <c r="D65" s="745" t="str">
        <f>TEXT(C65,"ddd")</f>
        <v>金</v>
      </c>
      <c r="E65" s="746"/>
      <c r="F65" s="774" t="s">
        <v>142</v>
      </c>
      <c r="G65" s="775" t="s">
        <v>648</v>
      </c>
      <c r="H65" s="776"/>
      <c r="I65" s="777">
        <v>0.5833333333333334</v>
      </c>
      <c r="J65" s="776">
        <v>9.0</v>
      </c>
      <c r="K65" s="776">
        <v>4.0</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customHeight="1" outlineLevel="1">
      <c r="A75" s="661"/>
      <c r="B75" s="738"/>
      <c r="C75" s="697"/>
      <c r="D75" s="697"/>
      <c r="E75" s="697"/>
      <c r="F75" s="757" t="s">
        <v>521</v>
      </c>
      <c r="G75" s="758" t="s">
        <v>649</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t="19.5" customHeight="1" outlineLevel="1">
      <c r="A76" s="661"/>
      <c r="B76" s="760"/>
      <c r="C76" s="761">
        <f>IF(C65="","",IF(DAY(C65+1)=1,"",C65+1))</f>
        <v>46088</v>
      </c>
      <c r="D76" s="762" t="str">
        <f>TEXT(C76,"ddd")</f>
        <v>土</v>
      </c>
      <c r="E76" s="763"/>
      <c r="F76" s="764" t="s">
        <v>142</v>
      </c>
      <c r="G76" s="765" t="s">
        <v>650</v>
      </c>
      <c r="H76" s="766"/>
      <c r="I76" s="767">
        <v>0.6666666666666666</v>
      </c>
      <c r="J76" s="766">
        <v>9.0</v>
      </c>
      <c r="K76" s="766">
        <v>3.0</v>
      </c>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t="19.5" customHeight="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t="19.5" customHeight="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t="19.5" customHeight="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t="19.5" customHeight="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t="19.5" customHeight="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t="19.5" customHeight="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t="19.5" customHeight="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t="19.5" customHeight="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t="19.5" customHeight="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t="18.0" customHeight="1" outlineLevel="1">
      <c r="A86" s="661"/>
      <c r="B86" s="738"/>
      <c r="C86" s="697"/>
      <c r="D86" s="697"/>
      <c r="E86" s="697"/>
      <c r="F86" s="739" t="s">
        <v>521</v>
      </c>
      <c r="G86" s="740" t="s">
        <v>651</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45.0" customHeight="1" outlineLevel="1">
      <c r="A87" s="661"/>
      <c r="B87" s="743"/>
      <c r="C87" s="744">
        <f>IF(C76="","",IF(DAY(C76+1)=1,"",C76+1))</f>
        <v>46089</v>
      </c>
      <c r="D87" s="745" t="str">
        <f>TEXT(C87,"ddd")</f>
        <v>日</v>
      </c>
      <c r="E87" s="746"/>
      <c r="F87" s="774" t="s">
        <v>132</v>
      </c>
      <c r="G87" s="775" t="s">
        <v>652</v>
      </c>
      <c r="H87" s="776"/>
      <c r="I87" s="777">
        <v>0.65625</v>
      </c>
      <c r="J87" s="776">
        <v>8.0</v>
      </c>
      <c r="K87" s="776">
        <v>2.0</v>
      </c>
      <c r="L87" s="754"/>
      <c r="M87" s="754"/>
      <c r="N87" s="774" t="s">
        <v>645</v>
      </c>
      <c r="O87" s="778"/>
      <c r="P87" s="770"/>
      <c r="Q87" s="771"/>
      <c r="R87" s="661"/>
      <c r="S87" s="228" t="str">
        <f t="array" ref="S87">IFERROR(INDEX('💻シート作成'!$D$6:$D1001, MATCH(T87, '💻シート作成'!$E$6:$E1001, 0)), "")</f>
        <v/>
      </c>
      <c r="T87" s="172"/>
      <c r="U87" s="664"/>
      <c r="V87" s="773"/>
      <c r="W87" s="661"/>
      <c r="X87" s="756"/>
      <c r="Y87" s="661"/>
      <c r="Z87" s="661"/>
    </row>
    <row r="88" ht="45.0"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45.0"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45.0"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45.0"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45.0"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45.0"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45.0"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45.0"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45.0"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31.5" customHeight="1" outlineLevel="1">
      <c r="A97" s="661"/>
      <c r="B97" s="738"/>
      <c r="C97" s="697"/>
      <c r="D97" s="697"/>
      <c r="E97" s="697"/>
      <c r="F97" s="757" t="s">
        <v>521</v>
      </c>
      <c r="G97" s="758" t="s">
        <v>653</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outlineLevel="1">
      <c r="A98" s="661"/>
      <c r="B98" s="760"/>
      <c r="C98" s="761">
        <f>IF(C87="","",IF(DAY(C87+1)=1,"",C87+1))</f>
        <v>46090</v>
      </c>
      <c r="D98" s="762" t="str">
        <f>TEXT(C98,"ddd")</f>
        <v>月</v>
      </c>
      <c r="E98" s="763"/>
      <c r="F98" s="764" t="s">
        <v>142</v>
      </c>
      <c r="G98" s="765" t="s">
        <v>654</v>
      </c>
      <c r="H98" s="766"/>
      <c r="I98" s="767">
        <v>0.625</v>
      </c>
      <c r="J98" s="766">
        <v>9.0</v>
      </c>
      <c r="K98" s="766">
        <v>3.0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customHeight="1" outlineLevel="1">
      <c r="A108" s="661"/>
      <c r="B108" s="738"/>
      <c r="C108" s="697"/>
      <c r="D108" s="697"/>
      <c r="E108" s="697"/>
      <c r="F108" s="739" t="s">
        <v>521</v>
      </c>
      <c r="G108" s="740" t="s">
        <v>655</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outlineLevel="1">
      <c r="A109" s="661"/>
      <c r="B109" s="743"/>
      <c r="C109" s="744">
        <f>IF(C98="","",IF(DAY(C98+1)=1,"",C98+1))</f>
        <v>46091</v>
      </c>
      <c r="D109" s="745" t="str">
        <f>TEXT(C109,"ddd")</f>
        <v>火</v>
      </c>
      <c r="E109" s="746"/>
      <c r="F109" s="774" t="s">
        <v>142</v>
      </c>
      <c r="G109" s="775" t="s">
        <v>656</v>
      </c>
      <c r="H109" s="776">
        <v>1.0</v>
      </c>
      <c r="I109" s="777">
        <v>0.625</v>
      </c>
      <c r="J109" s="776" t="s">
        <v>631</v>
      </c>
      <c r="K109" s="776" t="s">
        <v>632</v>
      </c>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customHeight="1" outlineLevel="1">
      <c r="A119" s="661"/>
      <c r="B119" s="738"/>
      <c r="C119" s="697"/>
      <c r="D119" s="697"/>
      <c r="E119" s="697"/>
      <c r="F119" s="757" t="s">
        <v>521</v>
      </c>
      <c r="G119" s="758" t="s">
        <v>657</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 r="A120" s="661"/>
      <c r="B120" s="779" t="s">
        <v>550</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27.75" customHeight="1" outlineLevel="1">
      <c r="A121" s="661"/>
      <c r="B121" s="760"/>
      <c r="C121" s="761">
        <f>IF(C109="","",IF(DAY(C109+1)=1,"",C109+1))</f>
        <v>46092</v>
      </c>
      <c r="D121" s="762" t="str">
        <f>TEXT(C121,"ddd")</f>
        <v>水</v>
      </c>
      <c r="E121" s="763"/>
      <c r="F121" s="764" t="s">
        <v>132</v>
      </c>
      <c r="G121" s="765" t="s">
        <v>658</v>
      </c>
      <c r="H121" s="766">
        <v>1.0</v>
      </c>
      <c r="I121" s="767">
        <v>0.7083333333333334</v>
      </c>
      <c r="J121" s="766">
        <v>6.0</v>
      </c>
      <c r="K121" s="766">
        <v>3.0</v>
      </c>
      <c r="L121" s="768" t="s">
        <v>113</v>
      </c>
      <c r="M121" s="768" t="s">
        <v>659</v>
      </c>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27.75"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27.75"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27.75"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27.75"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27.75"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27.75"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27.75"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27.75"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27.75"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customHeight="1" outlineLevel="1">
      <c r="A131" s="661"/>
      <c r="B131" s="738"/>
      <c r="C131" s="697"/>
      <c r="D131" s="697"/>
      <c r="E131" s="697"/>
      <c r="F131" s="739" t="s">
        <v>521</v>
      </c>
      <c r="G131" s="740" t="s">
        <v>660</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75.0" customHeight="1" outlineLevel="1">
      <c r="A132" s="661"/>
      <c r="B132" s="743"/>
      <c r="C132" s="744">
        <f>IF(C121="","",IF(DAY(C121+1)=1,"",C121+1))</f>
        <v>46093</v>
      </c>
      <c r="D132" s="745" t="str">
        <f>TEXT(C132,"ddd")</f>
        <v>木</v>
      </c>
      <c r="E132" s="746"/>
      <c r="F132" s="774" t="s">
        <v>132</v>
      </c>
      <c r="G132" s="775" t="s">
        <v>661</v>
      </c>
      <c r="H132" s="776"/>
      <c r="I132" s="777">
        <v>0.6666666666666666</v>
      </c>
      <c r="J132" s="776">
        <v>7.0</v>
      </c>
      <c r="K132" s="776">
        <v>3.0</v>
      </c>
      <c r="L132" s="754" t="s">
        <v>529</v>
      </c>
      <c r="M132" s="754" t="s">
        <v>662</v>
      </c>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75.0"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75.0"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75.0"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75.0"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75.0"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75.0"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75.0"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75.0"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75.0"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customHeight="1" outlineLevel="1">
      <c r="A142" s="661"/>
      <c r="B142" s="738"/>
      <c r="C142" s="697"/>
      <c r="D142" s="697"/>
      <c r="E142" s="697"/>
      <c r="F142" s="757" t="s">
        <v>521</v>
      </c>
      <c r="G142" s="758" t="s">
        <v>663</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45.0" customHeight="1" outlineLevel="1">
      <c r="A143" s="661"/>
      <c r="B143" s="760"/>
      <c r="C143" s="761">
        <f>IF(C132="","",IF(DAY(C132+1)=1,"",C132+1))</f>
        <v>46094</v>
      </c>
      <c r="D143" s="762" t="str">
        <f>TEXT(C143,"ddd")</f>
        <v>金</v>
      </c>
      <c r="E143" s="763"/>
      <c r="F143" s="764" t="s">
        <v>132</v>
      </c>
      <c r="G143" s="765" t="s">
        <v>664</v>
      </c>
      <c r="H143" s="766"/>
      <c r="I143" s="767">
        <v>0.65625</v>
      </c>
      <c r="J143" s="766">
        <v>9.0</v>
      </c>
      <c r="K143" s="766">
        <v>1.0</v>
      </c>
      <c r="L143" s="768" t="s">
        <v>529</v>
      </c>
      <c r="M143" s="768" t="s">
        <v>665</v>
      </c>
      <c r="N143" s="774" t="s">
        <v>666</v>
      </c>
      <c r="O143" s="769"/>
      <c r="P143" s="770"/>
      <c r="Q143" s="771"/>
      <c r="R143" s="661"/>
      <c r="S143" s="228" t="str">
        <f t="array" ref="S143">IFERROR(INDEX('💻シート作成'!$D$6:$D1001, MATCH(T143, '💻シート作成'!$E$6:$E1001, 0)), "")</f>
        <v/>
      </c>
      <c r="T143" s="184"/>
      <c r="U143" s="664"/>
      <c r="V143" s="773"/>
      <c r="W143" s="661"/>
      <c r="X143" s="756"/>
      <c r="Y143" s="661"/>
      <c r="Z143" s="661"/>
    </row>
    <row r="144" ht="45.0"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45.0"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45.0"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45.0"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45.0"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45.0"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45.0"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45.0"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45.0"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t="18.0" customHeight="1" outlineLevel="1">
      <c r="A153" s="661"/>
      <c r="B153" s="738"/>
      <c r="C153" s="697"/>
      <c r="D153" s="697"/>
      <c r="E153" s="697"/>
      <c r="F153" s="739" t="s">
        <v>521</v>
      </c>
      <c r="G153" s="740" t="s">
        <v>667</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t="76.5" customHeight="1" outlineLevel="1">
      <c r="A154" s="661"/>
      <c r="B154" s="743"/>
      <c r="C154" s="744">
        <f>IF(C143="","",IF(DAY(C143+1)=1,"",C143+1))</f>
        <v>46095</v>
      </c>
      <c r="D154" s="745" t="str">
        <f>TEXT(C154,"ddd")</f>
        <v>土</v>
      </c>
      <c r="E154" s="746"/>
      <c r="F154" s="774" t="s">
        <v>132</v>
      </c>
      <c r="G154" s="775" t="s">
        <v>668</v>
      </c>
      <c r="H154" s="776">
        <v>1.0</v>
      </c>
      <c r="I154" s="777">
        <v>0.6666666666666666</v>
      </c>
      <c r="J154" s="776">
        <v>10.0</v>
      </c>
      <c r="K154" s="776">
        <v>2.0</v>
      </c>
      <c r="L154" s="754"/>
      <c r="M154" s="754"/>
      <c r="N154" s="774" t="s">
        <v>669</v>
      </c>
      <c r="O154" s="778"/>
      <c r="P154" s="770"/>
      <c r="Q154" s="771"/>
      <c r="R154" s="661"/>
      <c r="S154" s="228" t="str">
        <f t="array" ref="S154">IFERROR(INDEX('💻シート作成'!$D$6:$D1001, MATCH(T154, '💻シート作成'!$E$6:$E1001, 0)), "")</f>
        <v/>
      </c>
      <c r="T154" s="184"/>
      <c r="U154" s="664"/>
      <c r="V154" s="773"/>
      <c r="W154" s="661"/>
      <c r="X154" s="756"/>
      <c r="Y154" s="661"/>
      <c r="Z154" s="661"/>
    </row>
    <row r="155" ht="76.5" customHeight="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t="76.5" customHeight="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t="76.5" customHeight="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t="76.5" customHeight="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t="76.5" customHeight="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t="76.5" customHeight="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t="76.5" customHeight="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t="76.5" customHeight="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t="76.5" customHeight="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t="18.0" customHeight="1" outlineLevel="1">
      <c r="A164" s="661"/>
      <c r="B164" s="738"/>
      <c r="C164" s="697"/>
      <c r="D164" s="697"/>
      <c r="E164" s="697"/>
      <c r="F164" s="757" t="s">
        <v>521</v>
      </c>
      <c r="G164" s="758" t="s">
        <v>670</v>
      </c>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t="102.0" customHeight="1" outlineLevel="1">
      <c r="A165" s="661"/>
      <c r="B165" s="760"/>
      <c r="C165" s="761">
        <f>IF(C154="","",IF(DAY(C154+1)=1,"",C154+1))</f>
        <v>46096</v>
      </c>
      <c r="D165" s="762" t="str">
        <f>TEXT(C165,"ddd")</f>
        <v>日</v>
      </c>
      <c r="E165" s="763"/>
      <c r="F165" s="764" t="s">
        <v>132</v>
      </c>
      <c r="G165" s="765" t="s">
        <v>671</v>
      </c>
      <c r="H165" s="766"/>
      <c r="I165" s="767">
        <v>0.6458333333333334</v>
      </c>
      <c r="J165" s="766">
        <v>8.0</v>
      </c>
      <c r="K165" s="766">
        <v>3.0</v>
      </c>
      <c r="L165" s="768" t="s">
        <v>112</v>
      </c>
      <c r="M165" s="768" t="s">
        <v>672</v>
      </c>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t="102.0" customHeight="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t="102.0" customHeight="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t="102.0" customHeight="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t="102.0" customHeight="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t="102.0" customHeight="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t="102.0" customHeight="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t="102.0" customHeight="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t="102.0" customHeight="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t="102.0" customHeight="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t="18.0" customHeight="1" outlineLevel="1">
      <c r="A175" s="661"/>
      <c r="B175" s="738"/>
      <c r="C175" s="697"/>
      <c r="D175" s="697"/>
      <c r="E175" s="697"/>
      <c r="F175" s="739" t="s">
        <v>521</v>
      </c>
      <c r="G175" s="740" t="s">
        <v>673</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553</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t="87.0" hidden="1" customHeight="1" outlineLevel="1">
      <c r="A177" s="661"/>
      <c r="B177" s="743"/>
      <c r="C177" s="744">
        <f>IF(C165="","",IF(DAY(C165+1)=1,"",C165+1))</f>
        <v>46097</v>
      </c>
      <c r="D177" s="745" t="str">
        <f>TEXT(C177,"ddd")</f>
        <v>月</v>
      </c>
      <c r="E177" s="746"/>
      <c r="F177" s="774" t="s">
        <v>132</v>
      </c>
      <c r="G177" s="775" t="s">
        <v>674</v>
      </c>
      <c r="H177" s="776"/>
      <c r="I177" s="777">
        <v>0.6666666666666666</v>
      </c>
      <c r="J177" s="776">
        <v>8.0</v>
      </c>
      <c r="K177" s="776">
        <v>3.0</v>
      </c>
      <c r="L177" s="754" t="s">
        <v>112</v>
      </c>
      <c r="M177" s="754" t="s">
        <v>672</v>
      </c>
      <c r="N177" s="774" t="s">
        <v>675</v>
      </c>
      <c r="O177" s="778"/>
      <c r="P177" s="770"/>
      <c r="Q177" s="771"/>
      <c r="R177" s="661"/>
      <c r="S177" s="228" t="str">
        <f t="array" ref="S177">IFERROR(INDEX('💻シート作成'!$D$6:$D1001, MATCH(T177, '💻シート作成'!$E$6:$E1001, 0)), "")</f>
        <v/>
      </c>
      <c r="T177" s="184"/>
      <c r="U177" s="664"/>
      <c r="V177" s="773"/>
      <c r="W177" s="661"/>
      <c r="X177" s="756"/>
      <c r="Y177" s="661"/>
      <c r="Z177" s="661"/>
    </row>
    <row r="178" ht="87.0" hidden="1" customHeight="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t="87.0" hidden="1" customHeight="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t="87.0" hidden="1" customHeight="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t="87.0" hidden="1" customHeight="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t="87.0" hidden="1" customHeight="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t="87.0" hidden="1" customHeight="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t="87.0" hidden="1" customHeight="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t="87.0" hidden="1" customHeight="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t="87.0" hidden="1" customHeight="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t="18.0" hidden="1" customHeight="1" outlineLevel="1">
      <c r="A187" s="661"/>
      <c r="B187" s="738"/>
      <c r="C187" s="697"/>
      <c r="D187" s="697"/>
      <c r="E187" s="697"/>
      <c r="F187" s="757" t="s">
        <v>521</v>
      </c>
      <c r="G187" s="758" t="s">
        <v>676</v>
      </c>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46098</v>
      </c>
      <c r="D188" s="762" t="str">
        <f>TEXT(C188,"ddd")</f>
        <v>火</v>
      </c>
      <c r="E188" s="763"/>
      <c r="F188" s="764" t="s">
        <v>142</v>
      </c>
      <c r="G188" s="765" t="s">
        <v>677</v>
      </c>
      <c r="H188" s="766">
        <v>1.0</v>
      </c>
      <c r="I188" s="767">
        <v>0.6458333333333334</v>
      </c>
      <c r="J188" s="766">
        <v>8.0</v>
      </c>
      <c r="K188" s="766">
        <v>3.0</v>
      </c>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t="18.0" hidden="1" customHeight="1" outlineLevel="1">
      <c r="A198" s="661"/>
      <c r="B198" s="738"/>
      <c r="C198" s="697"/>
      <c r="D198" s="697"/>
      <c r="E198" s="697"/>
      <c r="F198" s="739" t="s">
        <v>521</v>
      </c>
      <c r="G198" s="740" t="s">
        <v>678</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t="64.5" hidden="1" customHeight="1" outlineLevel="1">
      <c r="A199" s="661"/>
      <c r="B199" s="743"/>
      <c r="C199" s="744">
        <f>IF(C188="","",IF(DAY(C188+1)=1,"",C188+1))</f>
        <v>46099</v>
      </c>
      <c r="D199" s="745" t="str">
        <f>TEXT(C199,"ddd")</f>
        <v>水</v>
      </c>
      <c r="E199" s="746"/>
      <c r="F199" s="774" t="s">
        <v>132</v>
      </c>
      <c r="G199" s="775" t="s">
        <v>679</v>
      </c>
      <c r="H199" s="776"/>
      <c r="I199" s="777">
        <v>0.6458333333333334</v>
      </c>
      <c r="J199" s="776">
        <v>8.0</v>
      </c>
      <c r="K199" s="776">
        <v>2.0</v>
      </c>
      <c r="L199" s="754"/>
      <c r="M199" s="754"/>
      <c r="N199" s="774" t="s">
        <v>680</v>
      </c>
      <c r="O199" s="778"/>
      <c r="P199" s="770"/>
      <c r="Q199" s="771"/>
      <c r="R199" s="661"/>
      <c r="S199" s="228" t="str">
        <f t="array" ref="S199">IFERROR(INDEX('💻シート作成'!$D$6:$D1001, MATCH(T199, '💻シート作成'!$E$6:$E1001, 0)), "")</f>
        <v/>
      </c>
      <c r="T199" s="184"/>
      <c r="U199" s="664"/>
      <c r="V199" s="773"/>
      <c r="W199" s="661"/>
      <c r="X199" s="756"/>
      <c r="Y199" s="661"/>
      <c r="Z199" s="661"/>
    </row>
    <row r="200" ht="64.5" hidden="1" customHeight="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t="64.5" hidden="1" customHeight="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t="64.5" hidden="1" customHeight="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t="64.5" hidden="1" customHeight="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t="64.5" hidden="1" customHeight="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t="64.5" hidden="1" customHeight="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t="64.5" hidden="1" customHeight="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t="64.5" hidden="1" customHeight="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t="64.5" hidden="1" customHeight="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t="18.0" hidden="1" customHeight="1" outlineLevel="1">
      <c r="A209" s="661"/>
      <c r="B209" s="738"/>
      <c r="C209" s="697"/>
      <c r="D209" s="697"/>
      <c r="E209" s="697"/>
      <c r="F209" s="757" t="s">
        <v>521</v>
      </c>
      <c r="G209" s="758" t="s">
        <v>681</v>
      </c>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t="57.75" hidden="1" customHeight="1" outlineLevel="1">
      <c r="A210" s="661"/>
      <c r="B210" s="760"/>
      <c r="C210" s="761">
        <f>IF(C199="","",IF(DAY(C199+1)=1,"",C199+1))</f>
        <v>46100</v>
      </c>
      <c r="D210" s="762" t="str">
        <f>TEXT(C210,"ddd")</f>
        <v>木</v>
      </c>
      <c r="E210" s="763"/>
      <c r="F210" s="764" t="s">
        <v>132</v>
      </c>
      <c r="G210" s="765" t="s">
        <v>682</v>
      </c>
      <c r="H210" s="766"/>
      <c r="I210" s="767">
        <v>0.6666666666666666</v>
      </c>
      <c r="J210" s="766">
        <v>8.0</v>
      </c>
      <c r="K210" s="766">
        <v>3.0</v>
      </c>
      <c r="L210" s="768"/>
      <c r="M210" s="768"/>
      <c r="N210" s="764" t="s">
        <v>683</v>
      </c>
      <c r="O210" s="769"/>
      <c r="P210" s="770"/>
      <c r="Q210" s="771"/>
      <c r="R210" s="661"/>
      <c r="S210" s="228" t="str">
        <f t="array" ref="S210">IFERROR(INDEX('💻シート作成'!$D$6:$D1001, MATCH(T210, '💻シート作成'!$E$6:$E1001, 0)), "")</f>
        <v/>
      </c>
      <c r="T210" s="184"/>
      <c r="U210" s="664"/>
      <c r="V210" s="773"/>
      <c r="W210" s="661"/>
      <c r="X210" s="756"/>
      <c r="Y210" s="661"/>
      <c r="Z210" s="661"/>
    </row>
    <row r="211" ht="57.75" hidden="1" customHeight="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t="57.75" hidden="1" customHeight="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t="57.75" hidden="1" customHeight="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t="57.75" hidden="1" customHeight="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t="57.75" hidden="1" customHeight="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t="57.75" hidden="1" customHeight="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t="57.75" hidden="1" customHeight="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t="57.75" hidden="1" customHeight="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t="57.75" hidden="1" customHeight="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t="18.0" hidden="1" customHeight="1" outlineLevel="1">
      <c r="A220" s="661"/>
      <c r="B220" s="738"/>
      <c r="C220" s="697"/>
      <c r="D220" s="697"/>
      <c r="E220" s="697"/>
      <c r="F220" s="739" t="s">
        <v>521</v>
      </c>
      <c r="G220" s="740" t="s">
        <v>684</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t="18.0" hidden="1" customHeight="1" outlineLevel="1">
      <c r="A221" s="661"/>
      <c r="B221" s="743"/>
      <c r="C221" s="744">
        <f>IF(C210="","",IF(DAY(C210+1)=1,"",C210+1))</f>
        <v>46101</v>
      </c>
      <c r="D221" s="745" t="str">
        <f>TEXT(C221,"ddd")</f>
        <v>金</v>
      </c>
      <c r="E221" s="746"/>
      <c r="F221" s="774" t="s">
        <v>132</v>
      </c>
      <c r="G221" s="775" t="s">
        <v>685</v>
      </c>
      <c r="H221" s="776"/>
      <c r="I221" s="777">
        <v>0.7083333333333334</v>
      </c>
      <c r="J221" s="776">
        <v>8.0</v>
      </c>
      <c r="K221" s="776">
        <v>1.0</v>
      </c>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t="18.0" hidden="1" customHeight="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t="18.0" hidden="1" customHeight="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t="18.0" hidden="1" customHeight="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t="18.0" hidden="1" customHeight="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t="18.0" hidden="1" customHeight="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t="18.0" hidden="1" customHeight="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t="18.0" hidden="1" customHeight="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t="18.0" hidden="1" customHeight="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t="18.0" hidden="1" customHeight="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t="18.0" hidden="1" customHeight="1" outlineLevel="1">
      <c r="A231" s="661"/>
      <c r="B231" s="738"/>
      <c r="C231" s="697"/>
      <c r="D231" s="697"/>
      <c r="E231" s="697"/>
      <c r="F231" s="757" t="s">
        <v>521</v>
      </c>
      <c r="G231" s="758" t="s">
        <v>686</v>
      </c>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554</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t="30.75" hidden="1" customHeight="1" outlineLevel="1">
      <c r="A233" s="661"/>
      <c r="B233" s="760"/>
      <c r="C233" s="761">
        <f>IF(C221="","",IF(DAY(C221+1)=1,"",C221+1))</f>
        <v>46102</v>
      </c>
      <c r="D233" s="762" t="str">
        <f>TEXT(C233,"ddd")</f>
        <v>土</v>
      </c>
      <c r="E233" s="763"/>
      <c r="F233" s="764" t="s">
        <v>132</v>
      </c>
      <c r="G233" s="765" t="s">
        <v>687</v>
      </c>
      <c r="H233" s="766">
        <v>1.0</v>
      </c>
      <c r="I233" s="767">
        <v>0.625</v>
      </c>
      <c r="J233" s="766">
        <v>9.0</v>
      </c>
      <c r="K233" s="766">
        <v>2.0</v>
      </c>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t="30.75" hidden="1" customHeight="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t="30.75" hidden="1" customHeight="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t="30.75" hidden="1" customHeight="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t="30.75" hidden="1" customHeight="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t="30.75" hidden="1" customHeight="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t="30.75" hidden="1" customHeight="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t="30.75" hidden="1" customHeight="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t="30.75" hidden="1" customHeight="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t="30.75" hidden="1" customHeight="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t="18.0" hidden="1" customHeight="1" outlineLevel="1">
      <c r="A243" s="661"/>
      <c r="B243" s="738"/>
      <c r="C243" s="697"/>
      <c r="D243" s="697"/>
      <c r="E243" s="697"/>
      <c r="F243" s="739" t="s">
        <v>521</v>
      </c>
      <c r="G243" s="740" t="s">
        <v>688</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t="27.75" hidden="1" customHeight="1" outlineLevel="1">
      <c r="A244" s="661"/>
      <c r="B244" s="743"/>
      <c r="C244" s="744">
        <f>IF(C233="","",IF(DAY(C233+1)=1,"",C233+1))</f>
        <v>46103</v>
      </c>
      <c r="D244" s="745" t="str">
        <f>TEXT(C244,"ddd")</f>
        <v>日</v>
      </c>
      <c r="E244" s="746"/>
      <c r="F244" s="774" t="s">
        <v>132</v>
      </c>
      <c r="G244" s="775" t="s">
        <v>689</v>
      </c>
      <c r="H244" s="776"/>
      <c r="I244" s="777">
        <v>0.6666666666666666</v>
      </c>
      <c r="J244" s="776">
        <v>8.0</v>
      </c>
      <c r="K244" s="776">
        <v>1.0</v>
      </c>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t="27.75" hidden="1" customHeight="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t="27.75" hidden="1" customHeight="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t="27.75" hidden="1" customHeight="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t="27.75" hidden="1" customHeight="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t="27.75" hidden="1" customHeight="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t="27.75" hidden="1" customHeight="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t="27.75" hidden="1" customHeight="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t="27.75" hidden="1" customHeight="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t="27.75" hidden="1" customHeight="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t="18.0" hidden="1" customHeight="1" outlineLevel="1">
      <c r="A254" s="661"/>
      <c r="B254" s="738"/>
      <c r="C254" s="697"/>
      <c r="D254" s="697"/>
      <c r="E254" s="697"/>
      <c r="F254" s="757" t="s">
        <v>521</v>
      </c>
      <c r="G254" s="758" t="s">
        <v>690</v>
      </c>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t="92.25" hidden="1" customHeight="1" outlineLevel="1">
      <c r="A255" s="661"/>
      <c r="B255" s="760"/>
      <c r="C255" s="761">
        <f>IF(C244="","",IF(DAY(C244+1)=1,"",C244+1))</f>
        <v>46104</v>
      </c>
      <c r="D255" s="762" t="str">
        <f>TEXT(C255,"ddd")</f>
        <v>月</v>
      </c>
      <c r="E255" s="763"/>
      <c r="F255" s="764" t="s">
        <v>132</v>
      </c>
      <c r="G255" s="765" t="s">
        <v>691</v>
      </c>
      <c r="H255" s="766"/>
      <c r="I255" s="767">
        <v>0.625</v>
      </c>
      <c r="J255" s="766">
        <v>8.0</v>
      </c>
      <c r="K255" s="766">
        <v>3.0</v>
      </c>
      <c r="L255" s="768" t="s">
        <v>485</v>
      </c>
      <c r="M255" s="768" t="s">
        <v>532</v>
      </c>
      <c r="N255" s="764" t="s">
        <v>692</v>
      </c>
      <c r="O255" s="769"/>
      <c r="P255" s="770"/>
      <c r="Q255" s="771"/>
      <c r="R255" s="661"/>
      <c r="S255" s="228" t="str">
        <f t="array" ref="S255">IFERROR(INDEX('💻シート作成'!$D$6:$D1001, MATCH(T255, '💻シート作成'!$E$6:$E1001, 0)), "")</f>
        <v/>
      </c>
      <c r="T255" s="184"/>
      <c r="U255" s="664"/>
      <c r="V255" s="773"/>
      <c r="W255" s="661"/>
      <c r="X255" s="756"/>
      <c r="Y255" s="661"/>
      <c r="Z255" s="661"/>
    </row>
    <row r="256" ht="92.25" hidden="1" customHeight="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t="92.25" hidden="1" customHeight="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t="92.25" hidden="1" customHeight="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t="92.25" hidden="1" customHeight="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t="92.25" hidden="1" customHeight="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t="92.25" hidden="1" customHeight="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t="92.25" hidden="1" customHeight="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t="92.25" hidden="1" customHeight="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t="92.25" hidden="1" customHeight="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t="18.0" hidden="1" customHeight="1" outlineLevel="1">
      <c r="A265" s="661"/>
      <c r="B265" s="738"/>
      <c r="C265" s="697"/>
      <c r="D265" s="697"/>
      <c r="E265" s="697"/>
      <c r="F265" s="739" t="s">
        <v>521</v>
      </c>
      <c r="G265" s="740" t="s">
        <v>693</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46105</v>
      </c>
      <c r="D266" s="745" t="str">
        <f>TEXT(C266,"ddd")</f>
        <v>火</v>
      </c>
      <c r="E266" s="746"/>
      <c r="F266" s="774" t="s">
        <v>142</v>
      </c>
      <c r="G266" s="775" t="s">
        <v>694</v>
      </c>
      <c r="H266" s="776"/>
      <c r="I266" s="776" t="s">
        <v>543</v>
      </c>
      <c r="J266" s="776" t="s">
        <v>631</v>
      </c>
      <c r="K266" s="776">
        <v>3.0</v>
      </c>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t="18.0" hidden="1" customHeight="1" outlineLevel="1">
      <c r="A276" s="661"/>
      <c r="B276" s="738"/>
      <c r="C276" s="697"/>
      <c r="D276" s="697"/>
      <c r="E276" s="697"/>
      <c r="F276" s="757" t="s">
        <v>521</v>
      </c>
      <c r="G276" s="758" t="s">
        <v>695</v>
      </c>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t="34.5" hidden="1" customHeight="1" outlineLevel="1">
      <c r="A277" s="661"/>
      <c r="B277" s="760"/>
      <c r="C277" s="761">
        <f>IF(C266="","",IF(DAY(C266+1)=1,"",C266+1))</f>
        <v>46106</v>
      </c>
      <c r="D277" s="762" t="str">
        <f>TEXT(C277,"ddd")</f>
        <v>水</v>
      </c>
      <c r="E277" s="763"/>
      <c r="F277" s="764" t="s">
        <v>132</v>
      </c>
      <c r="G277" s="765" t="s">
        <v>696</v>
      </c>
      <c r="H277" s="766"/>
      <c r="I277" s="767">
        <v>0.6770833333333334</v>
      </c>
      <c r="J277" s="766">
        <v>8.0</v>
      </c>
      <c r="K277" s="766">
        <v>4.0</v>
      </c>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t="34.5" hidden="1" customHeight="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t="34.5" hidden="1" customHeight="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t="34.5" hidden="1" customHeight="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t="34.5" hidden="1" customHeight="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t="34.5" hidden="1" customHeight="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t="34.5" hidden="1" customHeight="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t="34.5" hidden="1" customHeight="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t="34.5" hidden="1" customHeight="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t="34.5" hidden="1" customHeight="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t="18.0" hidden="1" customHeight="1" outlineLevel="1">
      <c r="A287" s="661"/>
      <c r="B287" s="738"/>
      <c r="C287" s="697"/>
      <c r="D287" s="697"/>
      <c r="E287" s="697"/>
      <c r="F287" s="739" t="s">
        <v>521</v>
      </c>
      <c r="G287" s="740" t="s">
        <v>697</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 r="A288" s="661"/>
      <c r="B288" s="779" t="s">
        <v>555</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t="26.25" customHeight="1" outlineLevel="1">
      <c r="A289" s="661"/>
      <c r="B289" s="743"/>
      <c r="C289" s="744">
        <f>IF(C277="","",IF(DAY(C277+1)=1,"",C277+1))</f>
        <v>46107</v>
      </c>
      <c r="D289" s="745" t="str">
        <f>TEXT(C289,"ddd")</f>
        <v>木</v>
      </c>
      <c r="E289" s="746"/>
      <c r="F289" s="774" t="s">
        <v>132</v>
      </c>
      <c r="G289" s="775" t="s">
        <v>698</v>
      </c>
      <c r="H289" s="776"/>
      <c r="I289" s="777">
        <v>0.7083333333333334</v>
      </c>
      <c r="J289" s="776">
        <v>6.0</v>
      </c>
      <c r="K289" s="776">
        <v>3.0</v>
      </c>
      <c r="L289" s="754"/>
      <c r="M289" s="754"/>
      <c r="N289" s="774"/>
      <c r="O289" s="778"/>
      <c r="P289" s="770"/>
      <c r="Q289" s="771"/>
      <c r="R289" s="661"/>
      <c r="S289" s="661"/>
      <c r="T289" s="661"/>
      <c r="U289" s="664"/>
      <c r="V289" s="665"/>
      <c r="W289" s="661"/>
      <c r="X289" s="661"/>
      <c r="Y289" s="661"/>
      <c r="Z289" s="661"/>
    </row>
    <row r="290" ht="26.25" customHeight="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t="26.25" customHeight="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t="26.25" customHeight="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t="26.25" customHeight="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t="26.25" customHeight="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t="26.25" customHeight="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t="26.25" customHeight="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t="26.25" customHeight="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t="26.25" customHeight="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7" t="s">
        <v>521</v>
      </c>
      <c r="G299" s="758" t="s">
        <v>699</v>
      </c>
      <c r="H299" s="741"/>
      <c r="I299" s="741"/>
      <c r="J299" s="741"/>
      <c r="K299" s="741"/>
      <c r="L299" s="758"/>
      <c r="M299" s="758"/>
      <c r="N299" s="758"/>
      <c r="O299" s="758"/>
      <c r="P299" s="758"/>
      <c r="Q299" s="759"/>
      <c r="R299" s="661"/>
      <c r="S299" s="661"/>
      <c r="T299" s="661"/>
      <c r="U299" s="664"/>
      <c r="V299" s="665"/>
      <c r="W299" s="661"/>
      <c r="X299" s="661"/>
      <c r="Y299" s="661"/>
      <c r="Z299" s="661"/>
    </row>
    <row r="300" ht="29.25" customHeight="1" outlineLevel="1">
      <c r="A300" s="661"/>
      <c r="B300" s="760"/>
      <c r="C300" s="761">
        <f>IF(C289="","",IF(DAY(C289+1)=1,"",C289+1))</f>
        <v>46108</v>
      </c>
      <c r="D300" s="762" t="str">
        <f>TEXT(C300,"ddd")</f>
        <v>金</v>
      </c>
      <c r="E300" s="763"/>
      <c r="F300" s="764" t="s">
        <v>132</v>
      </c>
      <c r="G300" s="765" t="s">
        <v>700</v>
      </c>
      <c r="H300" s="766"/>
      <c r="I300" s="767">
        <v>0.6458333333333334</v>
      </c>
      <c r="J300" s="766">
        <v>8.0</v>
      </c>
      <c r="K300" s="766">
        <v>2.0</v>
      </c>
      <c r="L300" s="768"/>
      <c r="M300" s="768"/>
      <c r="N300" s="764"/>
      <c r="O300" s="769"/>
      <c r="P300" s="770"/>
      <c r="Q300" s="771"/>
      <c r="R300" s="661"/>
      <c r="S300" s="661"/>
      <c r="T300" s="661"/>
      <c r="U300" s="664"/>
      <c r="V300" s="665"/>
      <c r="W300" s="661"/>
      <c r="X300" s="661"/>
      <c r="Y300" s="661"/>
      <c r="Z300" s="661"/>
    </row>
    <row r="301" ht="29.25" customHeight="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t="29.25" customHeight="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t="29.25" customHeight="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t="29.25" customHeight="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t="29.25" customHeight="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t="29.25" customHeight="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t="29.25" customHeight="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t="29.25" customHeight="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t="29.25" customHeight="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521</v>
      </c>
      <c r="G310" s="740" t="s">
        <v>701</v>
      </c>
      <c r="H310" s="741"/>
      <c r="I310" s="741"/>
      <c r="J310" s="741"/>
      <c r="K310" s="741"/>
      <c r="L310" s="740"/>
      <c r="M310" s="740"/>
      <c r="N310" s="740"/>
      <c r="O310" s="740"/>
      <c r="P310" s="740"/>
      <c r="Q310" s="742"/>
      <c r="R310" s="661"/>
      <c r="S310" s="661"/>
      <c r="T310" s="661"/>
      <c r="U310" s="664"/>
      <c r="V310" s="665"/>
      <c r="W310" s="661"/>
      <c r="X310" s="661"/>
      <c r="Y310" s="661"/>
      <c r="Z310" s="661"/>
    </row>
    <row r="311" ht="51.75" customHeight="1" outlineLevel="1">
      <c r="A311" s="661"/>
      <c r="B311" s="743"/>
      <c r="C311" s="744">
        <f>IF(C300="","",IF(DAY(C300+1)=1,"",C300+1))</f>
        <v>46109</v>
      </c>
      <c r="D311" s="745" t="str">
        <f>TEXT(C311,"ddd")</f>
        <v>土</v>
      </c>
      <c r="E311" s="746"/>
      <c r="F311" s="774" t="s">
        <v>132</v>
      </c>
      <c r="G311" s="775" t="s">
        <v>702</v>
      </c>
      <c r="H311" s="776"/>
      <c r="I311" s="777">
        <v>0.65625</v>
      </c>
      <c r="J311" s="776">
        <v>7.0</v>
      </c>
      <c r="K311" s="776">
        <v>3.0</v>
      </c>
      <c r="L311" s="754" t="s">
        <v>474</v>
      </c>
      <c r="M311" s="754" t="s">
        <v>703</v>
      </c>
      <c r="N311" s="774"/>
      <c r="O311" s="778"/>
      <c r="P311" s="770"/>
      <c r="Q311" s="771"/>
      <c r="R311" s="661"/>
      <c r="S311" s="661"/>
      <c r="T311" s="661"/>
      <c r="U311" s="664"/>
      <c r="V311" s="665"/>
      <c r="W311" s="661"/>
      <c r="X311" s="661"/>
      <c r="Y311" s="661"/>
      <c r="Z311" s="661"/>
    </row>
    <row r="312" ht="51.75" customHeight="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t="51.75" customHeight="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t="51.75" customHeight="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t="51.75" customHeight="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t="51.75" customHeight="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t="51.75" customHeight="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t="51.75" customHeight="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t="51.75" customHeight="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t="51.75" customHeight="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7" t="s">
        <v>521</v>
      </c>
      <c r="G321" s="758" t="s">
        <v>704</v>
      </c>
      <c r="H321" s="741"/>
      <c r="I321" s="741"/>
      <c r="J321" s="741"/>
      <c r="K321" s="741"/>
      <c r="L321" s="758"/>
      <c r="M321" s="758"/>
      <c r="N321" s="758"/>
      <c r="O321" s="758"/>
      <c r="P321" s="758"/>
      <c r="Q321" s="759"/>
      <c r="R321" s="661"/>
      <c r="S321" s="661"/>
      <c r="T321" s="661"/>
      <c r="U321" s="664"/>
      <c r="V321" s="665"/>
      <c r="W321" s="661"/>
      <c r="X321" s="661"/>
      <c r="Y321" s="661"/>
      <c r="Z321" s="661"/>
    </row>
    <row r="322" ht="17.25" customHeight="1" outlineLevel="1">
      <c r="A322" s="661"/>
      <c r="B322" s="760"/>
      <c r="C322" s="761">
        <f>IF(C311="","",IF(DAY(C311+1)=1,"",C311+1))</f>
        <v>46110</v>
      </c>
      <c r="D322" s="762" t="str">
        <f>TEXT(C322,"ddd")</f>
        <v>日</v>
      </c>
      <c r="E322" s="763"/>
      <c r="F322" s="764" t="s">
        <v>551</v>
      </c>
      <c r="G322" s="765" t="s">
        <v>705</v>
      </c>
      <c r="H322" s="766"/>
      <c r="I322" s="767">
        <v>0.6666666666666666</v>
      </c>
      <c r="J322" s="766">
        <v>8.0</v>
      </c>
      <c r="K322" s="766">
        <v>3.0</v>
      </c>
      <c r="L322" s="768"/>
      <c r="M322" s="768"/>
      <c r="N322" s="764"/>
      <c r="O322" s="769"/>
      <c r="P322" s="770"/>
      <c r="Q322" s="771"/>
      <c r="R322" s="661"/>
      <c r="S322" s="661"/>
      <c r="T322" s="661"/>
      <c r="U322" s="664"/>
      <c r="V322" s="665"/>
      <c r="W322" s="661"/>
      <c r="X322" s="661"/>
      <c r="Y322" s="661"/>
      <c r="Z322" s="661"/>
    </row>
    <row r="323" ht="17.25" customHeight="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t="17.25" customHeight="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t="17.25" customHeight="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t="17.25" customHeight="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t="17.25" customHeight="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t="17.25" customHeight="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t="17.25" customHeight="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t="17.25" customHeight="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t="17.25" customHeight="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t="18.0" customHeight="1" outlineLevel="1">
      <c r="A332" s="661"/>
      <c r="B332" s="738"/>
      <c r="C332" s="697"/>
      <c r="D332" s="697"/>
      <c r="E332" s="697"/>
      <c r="F332" s="739" t="s">
        <v>521</v>
      </c>
      <c r="G332" s="740" t="s">
        <v>706</v>
      </c>
      <c r="H332" s="741"/>
      <c r="I332" s="741"/>
      <c r="J332" s="741"/>
      <c r="K332" s="741"/>
      <c r="L332" s="740"/>
      <c r="M332" s="740"/>
      <c r="N332" s="740"/>
      <c r="O332" s="740"/>
      <c r="P332" s="740"/>
      <c r="Q332" s="742"/>
      <c r="R332" s="661"/>
      <c r="S332" s="661"/>
      <c r="T332" s="661"/>
      <c r="U332" s="664"/>
      <c r="V332" s="665"/>
      <c r="W332" s="661"/>
      <c r="X332" s="661"/>
      <c r="Y332" s="661"/>
      <c r="Z332" s="661"/>
    </row>
    <row r="333" ht="22.5" customHeight="1" outlineLevel="1">
      <c r="A333" s="661"/>
      <c r="B333" s="743"/>
      <c r="C333" s="744">
        <f>IF(C322="","",IF(DAY(C322+1)=1,"",C322+1))</f>
        <v>46111</v>
      </c>
      <c r="D333" s="745" t="str">
        <f>TEXT(C333,"ddd")</f>
        <v>月</v>
      </c>
      <c r="E333" s="746"/>
      <c r="F333" s="774" t="s">
        <v>142</v>
      </c>
      <c r="G333" s="775" t="s">
        <v>707</v>
      </c>
      <c r="H333" s="776"/>
      <c r="I333" s="777">
        <v>0.6979166666666666</v>
      </c>
      <c r="J333" s="776">
        <v>8.0</v>
      </c>
      <c r="K333" s="776">
        <v>3.0</v>
      </c>
      <c r="L333" s="754" t="s">
        <v>470</v>
      </c>
      <c r="M333" s="754" t="s">
        <v>708</v>
      </c>
      <c r="N333" s="774"/>
      <c r="O333" s="778"/>
      <c r="P333" s="770"/>
      <c r="Q333" s="771"/>
      <c r="R333" s="661"/>
      <c r="S333" s="661"/>
      <c r="T333" s="661"/>
      <c r="U333" s="664"/>
      <c r="V333" s="665"/>
      <c r="W333" s="661"/>
      <c r="X333" s="661"/>
      <c r="Y333" s="661"/>
      <c r="Z333" s="661"/>
    </row>
    <row r="334" ht="22.5" customHeight="1" outlineLevel="1">
      <c r="A334" s="661"/>
      <c r="B334" s="729"/>
      <c r="C334" s="730"/>
      <c r="D334" s="730"/>
      <c r="E334" s="730"/>
      <c r="F334" s="730"/>
      <c r="G334" s="731"/>
      <c r="H334" s="730"/>
      <c r="I334" s="730"/>
      <c r="J334" s="730"/>
      <c r="K334" s="730"/>
      <c r="L334" s="754" t="s">
        <v>472</v>
      </c>
      <c r="M334" s="754" t="s">
        <v>709</v>
      </c>
      <c r="N334" s="730"/>
      <c r="O334" s="733"/>
      <c r="Q334" s="728"/>
      <c r="R334" s="661"/>
      <c r="S334" s="661"/>
      <c r="T334" s="661"/>
      <c r="U334" s="664"/>
      <c r="V334" s="665"/>
      <c r="W334" s="661"/>
      <c r="X334" s="661"/>
      <c r="Y334" s="661"/>
      <c r="Z334" s="661"/>
    </row>
    <row r="335" ht="22.5" customHeight="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t="22.5" customHeight="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t="22.5" customHeight="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t="22.5" customHeight="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t="22.5" customHeight="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t="22.5" customHeight="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t="22.5" customHeight="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t="22.5" customHeight="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t="18.0" customHeight="1" outlineLevel="1">
      <c r="A343" s="661"/>
      <c r="B343" s="738"/>
      <c r="C343" s="697"/>
      <c r="D343" s="697"/>
      <c r="E343" s="697"/>
      <c r="F343" s="757" t="s">
        <v>521</v>
      </c>
      <c r="G343" s="758" t="s">
        <v>710</v>
      </c>
      <c r="H343" s="741"/>
      <c r="I343" s="741"/>
      <c r="J343" s="741"/>
      <c r="K343" s="741"/>
      <c r="L343" s="758"/>
      <c r="M343" s="758"/>
      <c r="N343" s="758"/>
      <c r="O343" s="758"/>
      <c r="P343" s="758"/>
      <c r="Q343" s="759"/>
      <c r="R343" s="661"/>
      <c r="S343" s="661"/>
      <c r="T343" s="661"/>
      <c r="U343" s="664"/>
      <c r="V343" s="665"/>
      <c r="W343" s="661"/>
      <c r="X343" s="661"/>
      <c r="Y343" s="661"/>
      <c r="Z343" s="661"/>
    </row>
    <row r="344" ht="53.25" customHeight="1" outlineLevel="1">
      <c r="A344" s="661"/>
      <c r="B344" s="760"/>
      <c r="C344" s="761">
        <f>IF(C333="","",IF(DAY(C333+1)=1,"",C333+1))</f>
        <v>46112</v>
      </c>
      <c r="D344" s="762" t="str">
        <f>TEXT(C344,"ddd")</f>
        <v>火</v>
      </c>
      <c r="E344" s="763"/>
      <c r="F344" s="764" t="s">
        <v>132</v>
      </c>
      <c r="G344" s="765" t="s">
        <v>711</v>
      </c>
      <c r="H344" s="766"/>
      <c r="I344" s="767">
        <v>0.6875</v>
      </c>
      <c r="J344" s="766">
        <v>8.0</v>
      </c>
      <c r="K344" s="766">
        <v>3.0</v>
      </c>
      <c r="L344" s="768" t="s">
        <v>480</v>
      </c>
      <c r="M344" s="768" t="s">
        <v>712</v>
      </c>
      <c r="N344" s="764"/>
      <c r="O344" s="769"/>
      <c r="P344" s="770"/>
      <c r="Q344" s="771"/>
      <c r="R344" s="661"/>
      <c r="S344" s="661"/>
      <c r="T344" s="661"/>
      <c r="U344" s="664"/>
      <c r="V344" s="665"/>
      <c r="W344" s="661"/>
      <c r="X344" s="661"/>
      <c r="Y344" s="661"/>
      <c r="Z344" s="661"/>
    </row>
    <row r="345" ht="53.25" customHeight="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t="53.25" customHeight="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t="53.25" customHeight="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t="53.25" customHeight="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t="53.25" customHeight="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t="53.25" customHeight="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t="53.25" customHeight="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t="53.25" customHeight="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t="53.25" customHeight="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t="18.0" customHeight="1" outlineLevel="1">
      <c r="A354" s="661"/>
      <c r="B354" s="788"/>
      <c r="C354" s="789"/>
      <c r="D354" s="789"/>
      <c r="E354" s="789"/>
      <c r="F354" s="790" t="s">
        <v>521</v>
      </c>
      <c r="G354" s="791" t="s">
        <v>713</v>
      </c>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556</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557</v>
      </c>
      <c r="C4" s="805"/>
      <c r="D4" s="806" t="s">
        <v>558</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54</v>
      </c>
      <c r="C5" s="808" t="s">
        <v>84</v>
      </c>
      <c r="D5" s="809" t="s">
        <v>132</v>
      </c>
      <c r="E5" s="810" t="b">
        <v>1</v>
      </c>
      <c r="F5" s="808" t="s">
        <v>559</v>
      </c>
      <c r="G5" s="811" t="s">
        <v>188</v>
      </c>
      <c r="H5" s="812" t="b">
        <v>1</v>
      </c>
      <c r="J5" s="813"/>
      <c r="K5" s="797"/>
      <c r="L5" s="814" t="s">
        <v>560</v>
      </c>
      <c r="T5" s="813"/>
      <c r="U5" s="815" t="s">
        <v>561</v>
      </c>
      <c r="AC5" s="798"/>
      <c r="AD5" s="816" t="s">
        <v>96</v>
      </c>
      <c r="AE5" s="816" t="s">
        <v>562</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563</v>
      </c>
      <c r="M7" s="236"/>
      <c r="N7" s="236"/>
      <c r="O7" s="236"/>
      <c r="P7" s="236"/>
      <c r="Q7" s="236"/>
      <c r="R7" s="236"/>
      <c r="S7" s="113"/>
      <c r="T7" s="820" t="s">
        <v>564</v>
      </c>
      <c r="U7" s="821" t="s">
        <v>565</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566</v>
      </c>
      <c r="C8" s="823"/>
      <c r="D8" s="824" t="s">
        <v>51</v>
      </c>
      <c r="E8" s="825" t="str">
        <f>IFERROR(__xludf.DUMMYFUNCTION("IFERROR(INDEX(FILTER($AE$6:$AE$200, $AD$6:$AD$200=$B$5, REGEXMATCH($AE$6:$AE$200, ""集計"")), 1), """")
"),"①R8_3集計")</f>
        <v>①R8_3集計</v>
      </c>
      <c r="F8" s="526"/>
      <c r="G8" s="223"/>
      <c r="H8" s="223"/>
      <c r="I8" s="200"/>
      <c r="J8" s="813"/>
      <c r="K8" s="797"/>
      <c r="L8" s="826" t="s">
        <v>714</v>
      </c>
      <c r="M8" s="247"/>
      <c r="N8" s="247"/>
      <c r="O8" s="247"/>
      <c r="P8" s="247"/>
      <c r="Q8" s="247"/>
      <c r="R8" s="247"/>
      <c r="S8" s="250"/>
      <c r="U8" s="826" t="s">
        <v>715</v>
      </c>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0.2340111708</v>
      </c>
      <c r="D10" s="832">
        <f t="array" ref="D10">INDIRECT($E$8 &amp; "!E8")</f>
        <v>0.6011474731</v>
      </c>
      <c r="E10" s="832">
        <f t="array" ref="E10">INDIRECT($E$8 &amp; "!G8")</f>
        <v>0.8882949309</v>
      </c>
      <c r="F10" s="833">
        <f t="array" ref="F10">INDIRECT($E$8 &amp; "!H8")</f>
        <v>5290320</v>
      </c>
      <c r="G10" s="833">
        <f t="array" ref="G10">INDIRECT($E$8 &amp; "!K8")</f>
        <v>0</v>
      </c>
      <c r="H10" s="833">
        <f t="array" ref="H10">INDIRECT($E$8 &amp; "!M8")</f>
        <v>1237993.977</v>
      </c>
      <c r="I10" s="832">
        <f t="array" ref="I10">INDIRECT($E$8 &amp; "!AT7")</f>
        <v>0.0009216589862</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0.271283732</v>
      </c>
      <c r="D11" s="836"/>
      <c r="E11" s="837"/>
      <c r="F11" s="838">
        <f t="array" ref="F11">INDIRECT($E$8 &amp; "!H7")</f>
        <v>4938757.5</v>
      </c>
      <c r="G11" s="836"/>
      <c r="H11" s="839">
        <f t="array" ref="H11">INDIRECT($E$8 &amp; "!M7")</f>
        <v>1339804.566</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567</v>
      </c>
      <c r="C13" s="843"/>
      <c r="D13" s="844" t="s">
        <v>51</v>
      </c>
      <c r="E13" s="845" t="s">
        <v>568</v>
      </c>
      <c r="F13" s="200"/>
      <c r="G13" s="200"/>
      <c r="H13" s="846" t="s">
        <v>35</v>
      </c>
      <c r="I13" s="847">
        <f t="array" ref="I13">xlookup($B$5,'🔵クレーム'!$C$10:$C$21,'🔵クレーム'!X$10:X$21)</f>
        <v>0.001004823151</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569</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4</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5</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570</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571</v>
      </c>
      <c r="C20" s="829" t="s">
        <v>572</v>
      </c>
      <c r="D20" s="829" t="s">
        <v>89</v>
      </c>
      <c r="E20" s="829" t="s">
        <v>90</v>
      </c>
      <c r="F20" s="829" t="s">
        <v>573</v>
      </c>
      <c r="G20" s="829" t="s">
        <v>602</v>
      </c>
      <c r="H20" s="829" t="s">
        <v>135</v>
      </c>
      <c r="I20" s="829" t="s">
        <v>574</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v>3.0</v>
      </c>
      <c r="C21" s="861">
        <v>0.0</v>
      </c>
      <c r="D21" s="861">
        <v>6.0</v>
      </c>
      <c r="E21" s="861">
        <v>15.0</v>
      </c>
      <c r="F21" s="861">
        <v>3.0</v>
      </c>
      <c r="G21" s="861">
        <v>2.0</v>
      </c>
      <c r="H21" s="862"/>
      <c r="I21" s="863">
        <f>sum(B21:G21)</f>
        <v>29</v>
      </c>
      <c r="J21" s="813"/>
      <c r="K21" s="797"/>
      <c r="L21" s="864" t="s">
        <v>575</v>
      </c>
      <c r="M21" s="232"/>
      <c r="N21" s="232"/>
      <c r="O21" s="232"/>
      <c r="P21" s="232"/>
      <c r="Q21" s="232"/>
      <c r="R21" s="232"/>
      <c r="S21" s="3"/>
      <c r="T21" s="820" t="s">
        <v>564</v>
      </c>
      <c r="U21" s="821" t="s">
        <v>576</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t="s">
        <v>716</v>
      </c>
      <c r="M22" s="247"/>
      <c r="N22" s="247"/>
      <c r="O22" s="247"/>
      <c r="P22" s="247"/>
      <c r="Q22" s="247"/>
      <c r="R22" s="247"/>
      <c r="S22" s="250"/>
      <c r="U22" s="826" t="s">
        <v>717</v>
      </c>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577</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578</v>
      </c>
      <c r="C25" s="869" t="s">
        <v>579</v>
      </c>
      <c r="D25" s="3"/>
      <c r="E25" s="869" t="s">
        <v>580</v>
      </c>
      <c r="F25" s="232"/>
      <c r="G25" s="232"/>
      <c r="H25" s="869" t="s">
        <v>581</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t="s">
        <v>718</v>
      </c>
      <c r="C26" s="871" t="s">
        <v>90</v>
      </c>
      <c r="D26" s="3"/>
      <c r="E26" s="871" t="s">
        <v>719</v>
      </c>
      <c r="F26" s="232"/>
      <c r="G26" s="232"/>
      <c r="H26" s="872" t="s">
        <v>720</v>
      </c>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582</v>
      </c>
      <c r="M35" s="232"/>
      <c r="N35" s="232"/>
      <c r="O35" s="232"/>
      <c r="P35" s="232"/>
      <c r="Q35" s="232"/>
      <c r="R35" s="232"/>
      <c r="S35" s="3"/>
      <c r="T35" s="820" t="s">
        <v>564</v>
      </c>
      <c r="U35" s="821" t="s">
        <v>582</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t="s">
        <v>721</v>
      </c>
      <c r="M36" s="247"/>
      <c r="N36" s="247"/>
      <c r="O36" s="247"/>
      <c r="P36" s="247"/>
      <c r="Q36" s="247"/>
      <c r="R36" s="247"/>
      <c r="S36" s="250"/>
      <c r="U36" s="826" t="s">
        <v>722</v>
      </c>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583</v>
      </c>
      <c r="C37" s="876"/>
      <c r="D37" s="877">
        <f>counta(C39:D48)</f>
        <v>8</v>
      </c>
      <c r="E37" s="878" t="s">
        <v>584</v>
      </c>
      <c r="F37" s="879"/>
      <c r="G37" s="877">
        <f>D37 - COUNTIF(E39:E48,"採用")</f>
        <v>7</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580</v>
      </c>
      <c r="F38" s="882"/>
      <c r="G38" s="881" t="s">
        <v>585</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930">
        <v>46083.0</v>
      </c>
      <c r="C39" s="885" t="s">
        <v>723</v>
      </c>
      <c r="D39" s="882"/>
      <c r="E39" s="886" t="s">
        <v>724</v>
      </c>
      <c r="F39" s="882"/>
      <c r="G39" s="931"/>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930">
        <v>46086.0</v>
      </c>
      <c r="C40" s="885" t="s">
        <v>725</v>
      </c>
      <c r="D40" s="882"/>
      <c r="E40" s="886" t="s">
        <v>726</v>
      </c>
      <c r="F40" s="882"/>
      <c r="G40" s="931" t="s">
        <v>727</v>
      </c>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930">
        <v>46090.0</v>
      </c>
      <c r="C41" s="885" t="s">
        <v>482</v>
      </c>
      <c r="D41" s="882"/>
      <c r="E41" s="886" t="s">
        <v>724</v>
      </c>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930">
        <v>46097.0</v>
      </c>
      <c r="C42" s="885" t="s">
        <v>728</v>
      </c>
      <c r="D42" s="882"/>
      <c r="E42" s="886" t="s">
        <v>729</v>
      </c>
      <c r="F42" s="882"/>
      <c r="G42" s="931" t="s">
        <v>730</v>
      </c>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930">
        <v>46098.0</v>
      </c>
      <c r="C43" s="885" t="s">
        <v>731</v>
      </c>
      <c r="D43" s="882"/>
      <c r="E43" s="886" t="s">
        <v>729</v>
      </c>
      <c r="F43" s="882"/>
      <c r="G43" s="931" t="s">
        <v>732</v>
      </c>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930">
        <v>46098.0</v>
      </c>
      <c r="C44" s="885" t="s">
        <v>733</v>
      </c>
      <c r="D44" s="882"/>
      <c r="E44" s="886" t="s">
        <v>724</v>
      </c>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930">
        <v>46104.0</v>
      </c>
      <c r="C45" s="885" t="s">
        <v>734</v>
      </c>
      <c r="D45" s="882"/>
      <c r="E45" s="886" t="s">
        <v>729</v>
      </c>
      <c r="F45" s="882"/>
      <c r="G45" s="931" t="s">
        <v>735</v>
      </c>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930">
        <v>46104.0</v>
      </c>
      <c r="C46" s="885" t="s">
        <v>489</v>
      </c>
      <c r="D46" s="882"/>
      <c r="E46" s="886" t="s">
        <v>736</v>
      </c>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586</v>
      </c>
      <c r="M49" s="232"/>
      <c r="N49" s="232"/>
      <c r="O49" s="232"/>
      <c r="P49" s="232"/>
      <c r="Q49" s="232"/>
      <c r="R49" s="232"/>
      <c r="S49" s="3"/>
      <c r="T49" s="820" t="s">
        <v>564</v>
      </c>
      <c r="U49" s="821" t="s">
        <v>587</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588</v>
      </c>
      <c r="C50" s="895"/>
      <c r="D50" s="896">
        <f>COUNTA(C52:D62)</f>
        <v>2</v>
      </c>
      <c r="E50" s="859"/>
      <c r="F50" s="859"/>
      <c r="G50" s="859"/>
      <c r="H50" s="859"/>
      <c r="I50" s="798"/>
      <c r="J50" s="798"/>
      <c r="K50" s="797"/>
      <c r="L50" s="826" t="s">
        <v>737</v>
      </c>
      <c r="M50" s="247"/>
      <c r="N50" s="247"/>
      <c r="O50" s="247"/>
      <c r="P50" s="247"/>
      <c r="Q50" s="247"/>
      <c r="R50" s="247"/>
      <c r="S50" s="250"/>
      <c r="U50" s="826" t="s">
        <v>738</v>
      </c>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589</v>
      </c>
      <c r="C51" s="881" t="s">
        <v>437</v>
      </c>
      <c r="D51" s="882"/>
      <c r="E51" s="880" t="s">
        <v>590</v>
      </c>
      <c r="F51" s="880" t="s">
        <v>591</v>
      </c>
      <c r="G51" s="880" t="s">
        <v>592</v>
      </c>
      <c r="H51" s="881" t="s">
        <v>593</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v>2405.0</v>
      </c>
      <c r="C52" s="885" t="s">
        <v>485</v>
      </c>
      <c r="D52" s="882"/>
      <c r="E52" s="932">
        <v>46094.0</v>
      </c>
      <c r="F52" s="899" t="s">
        <v>739</v>
      </c>
      <c r="G52" s="899" t="s">
        <v>740</v>
      </c>
      <c r="H52" s="900" t="s">
        <v>90</v>
      </c>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v>2406.0</v>
      </c>
      <c r="C53" s="885" t="s">
        <v>486</v>
      </c>
      <c r="D53" s="882"/>
      <c r="E53" s="932">
        <v>46098.0</v>
      </c>
      <c r="F53" s="899" t="s">
        <v>739</v>
      </c>
      <c r="G53" s="899" t="s">
        <v>741</v>
      </c>
      <c r="H53" s="900" t="s">
        <v>90</v>
      </c>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594</v>
      </c>
      <c r="M63" s="232"/>
      <c r="N63" s="232"/>
      <c r="O63" s="232"/>
      <c r="P63" s="232"/>
      <c r="Q63" s="232"/>
      <c r="R63" s="232"/>
      <c r="S63" s="3"/>
      <c r="T63" s="820" t="s">
        <v>564</v>
      </c>
      <c r="U63" s="821" t="s">
        <v>595</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596</v>
      </c>
      <c r="C64" s="902"/>
      <c r="D64" s="896">
        <f>COUNTA(C66:D76)</f>
        <v>2</v>
      </c>
      <c r="E64" s="859"/>
      <c r="F64" s="859"/>
      <c r="G64" s="859"/>
      <c r="H64" s="859"/>
      <c r="I64" s="859"/>
      <c r="J64" s="798"/>
      <c r="K64" s="797"/>
      <c r="L64" s="826" t="s">
        <v>742</v>
      </c>
      <c r="M64" s="247"/>
      <c r="N64" s="247"/>
      <c r="O64" s="247"/>
      <c r="P64" s="247"/>
      <c r="Q64" s="247"/>
      <c r="R64" s="247"/>
      <c r="S64" s="250"/>
      <c r="U64" s="826" t="s">
        <v>743</v>
      </c>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589</v>
      </c>
      <c r="C65" s="881" t="s">
        <v>437</v>
      </c>
      <c r="D65" s="882"/>
      <c r="E65" s="880" t="s">
        <v>597</v>
      </c>
      <c r="F65" s="881" t="s">
        <v>598</v>
      </c>
      <c r="G65" s="882"/>
      <c r="H65" s="881" t="s">
        <v>593</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933">
        <v>1187.0</v>
      </c>
      <c r="C66" s="885" t="s">
        <v>744</v>
      </c>
      <c r="D66" s="882"/>
      <c r="E66" s="934">
        <v>46112.0</v>
      </c>
      <c r="F66" s="931" t="s">
        <v>745</v>
      </c>
      <c r="G66" s="882"/>
      <c r="H66" s="904" t="s">
        <v>90</v>
      </c>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933">
        <v>2340.0</v>
      </c>
      <c r="C67" s="885" t="s">
        <v>529</v>
      </c>
      <c r="D67" s="882"/>
      <c r="E67" s="934">
        <v>46112.0</v>
      </c>
      <c r="F67" s="931" t="s">
        <v>746</v>
      </c>
      <c r="G67" s="882"/>
      <c r="H67" s="904" t="s">
        <v>90</v>
      </c>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599</v>
      </c>
      <c r="M77" s="232"/>
      <c r="N77" s="232"/>
      <c r="O77" s="232"/>
      <c r="P77" s="232"/>
      <c r="Q77" s="232"/>
      <c r="R77" s="232"/>
      <c r="S77" s="3"/>
      <c r="T77" s="813"/>
      <c r="U77" s="905" t="s">
        <v>600</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t="s">
        <v>747</v>
      </c>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601</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935" t="s">
        <v>748</v>
      </c>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39.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602</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363</v>
      </c>
      <c r="AZ31" s="445">
        <f t="shared" ref="AZ31:AZ32" si="12">BA31/$G$5*COUNTIFS($E$13:$E$43,"&gt;0")</f>
        <v>182400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365</v>
      </c>
      <c r="AZ32" s="445">
        <f t="shared" si="12"/>
        <v>100000</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367</v>
      </c>
      <c r="AZ33" s="462">
        <v>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369</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749</v>
      </c>
      <c r="AZ40" s="462">
        <v>92750.0</v>
      </c>
      <c r="BA40" s="936"/>
      <c r="BB40" s="443">
        <f>SUM(AZ40:AZ45)</f>
        <v>92750</v>
      </c>
      <c r="BC40" s="315"/>
      <c r="BD40" s="473" t="s">
        <v>365</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384</v>
      </c>
      <c r="M2" s="532"/>
      <c r="N2" s="533" t="s">
        <v>750</v>
      </c>
      <c r="O2" s="534"/>
      <c r="P2" s="535"/>
      <c r="Q2" s="536"/>
      <c r="R2" s="536"/>
      <c r="S2" s="537"/>
      <c r="T2" s="536"/>
      <c r="U2" s="536"/>
      <c r="V2" s="536"/>
      <c r="W2" s="536"/>
      <c r="X2" s="536"/>
      <c r="Y2" s="538"/>
      <c r="Z2" s="281"/>
      <c r="AA2" s="281"/>
      <c r="AB2" s="281"/>
      <c r="AC2" s="281"/>
      <c r="AD2" s="281"/>
      <c r="AE2" s="281"/>
      <c r="AF2" s="539"/>
      <c r="AG2" s="540"/>
      <c r="AH2" s="541"/>
      <c r="AI2" s="542" t="s">
        <v>751</v>
      </c>
      <c r="AJ2" s="281"/>
      <c r="AK2" s="281"/>
      <c r="AT2" s="281"/>
      <c r="AU2" s="543" t="s">
        <v>387</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389</v>
      </c>
      <c r="AV3" s="559"/>
      <c r="AW3" s="560" t="s">
        <v>52</v>
      </c>
      <c r="AX3" s="560" t="s">
        <v>54</v>
      </c>
      <c r="AY3" s="560" t="s">
        <v>34</v>
      </c>
      <c r="AZ3" s="560" t="s">
        <v>57</v>
      </c>
      <c r="BA3" s="560" t="s">
        <v>59</v>
      </c>
      <c r="BB3" s="560" t="s">
        <v>61</v>
      </c>
      <c r="BC3" s="560" t="s">
        <v>63</v>
      </c>
      <c r="BD3" s="560" t="s">
        <v>65</v>
      </c>
      <c r="BE3" s="560" t="s">
        <v>67</v>
      </c>
      <c r="BF3" s="560" t="s">
        <v>69</v>
      </c>
      <c r="BG3" s="560" t="s">
        <v>71</v>
      </c>
      <c r="BH3" s="561" t="s">
        <v>73</v>
      </c>
      <c r="BI3" s="562" t="s">
        <v>345</v>
      </c>
      <c r="BJ3" s="200"/>
      <c r="BK3" s="563" t="s">
        <v>390</v>
      </c>
      <c r="BL3" s="3"/>
      <c r="BM3" s="564">
        <v>46113.0</v>
      </c>
      <c r="BU3" s="200"/>
      <c r="BV3" s="200"/>
      <c r="BW3" s="200"/>
      <c r="BX3" s="200"/>
      <c r="BY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938"/>
      <c r="AL4" s="576" t="s">
        <v>406</v>
      </c>
      <c r="AM4" s="574"/>
      <c r="AN4" s="580"/>
      <c r="AO4" s="581"/>
      <c r="AP4" s="581"/>
      <c r="AQ4" s="555"/>
      <c r="AR4" s="582"/>
      <c r="AS4" s="557"/>
      <c r="AT4" s="200"/>
      <c r="AU4" s="583" t="s">
        <v>119</v>
      </c>
      <c r="AV4" s="584" t="s">
        <v>213</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408</v>
      </c>
      <c r="BL4" s="250"/>
      <c r="BM4" s="564">
        <v>46143.0</v>
      </c>
      <c r="BU4" s="526"/>
      <c r="BV4" s="526"/>
      <c r="BW4" s="526"/>
      <c r="BX4" s="526"/>
      <c r="BY4" s="526"/>
    </row>
    <row r="5" ht="24.75" customHeight="1">
      <c r="A5" s="529"/>
      <c r="B5" s="589" t="s">
        <v>409</v>
      </c>
      <c r="C5" s="590"/>
      <c r="D5" s="529"/>
      <c r="E5" s="591" t="s">
        <v>410</v>
      </c>
      <c r="F5" s="590"/>
      <c r="G5" s="529"/>
      <c r="H5" s="529"/>
      <c r="I5" s="592" t="b">
        <v>0</v>
      </c>
      <c r="J5" s="3"/>
      <c r="K5" s="593"/>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939"/>
      <c r="AL5" s="576" t="s">
        <v>423</v>
      </c>
      <c r="AM5" s="574"/>
      <c r="AN5" s="580"/>
      <c r="AO5" s="581"/>
      <c r="AP5" s="581"/>
      <c r="AQ5" s="555"/>
      <c r="AR5" s="582"/>
      <c r="AS5" s="557"/>
      <c r="AT5" s="200"/>
      <c r="AU5" s="598" t="s">
        <v>424</v>
      </c>
      <c r="AV5" s="584" t="s">
        <v>216</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46123</v>
      </c>
      <c r="C7" s="614"/>
      <c r="D7" s="529"/>
      <c r="E7" s="615">
        <f>today()+1</f>
        <v>46124</v>
      </c>
      <c r="F7" s="616"/>
      <c r="G7" s="529"/>
      <c r="H7" s="529"/>
      <c r="I7" s="617" t="s">
        <v>425</v>
      </c>
      <c r="J7" s="618" t="s">
        <v>426</v>
      </c>
      <c r="K7" s="619">
        <v>46054.0</v>
      </c>
      <c r="L7" s="620" t="s">
        <v>427</v>
      </c>
      <c r="M7" s="621" t="s">
        <v>428</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429</v>
      </c>
      <c r="AU7" s="625" t="s">
        <v>430</v>
      </c>
      <c r="AV7" s="626" t="s">
        <v>81</v>
      </c>
      <c r="AW7" s="626" t="s">
        <v>431</v>
      </c>
      <c r="AX7" s="626" t="s">
        <v>432</v>
      </c>
      <c r="AY7" s="626" t="s">
        <v>433</v>
      </c>
      <c r="AZ7" s="626" t="s">
        <v>434</v>
      </c>
      <c r="BA7" s="626" t="s">
        <v>435</v>
      </c>
      <c r="BB7" s="626" t="s">
        <v>82</v>
      </c>
      <c r="BC7" s="627" t="s">
        <v>343</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292</v>
      </c>
      <c r="C8" s="911" t="str">
        <f>TEXT(B7,"ddd")</f>
        <v>土</v>
      </c>
      <c r="D8" s="200"/>
      <c r="E8" s="912" t="s">
        <v>292</v>
      </c>
      <c r="F8" s="913" t="str">
        <f>TEXT(E7,"ddd")</f>
        <v>日</v>
      </c>
      <c r="G8" s="200"/>
      <c r="H8" s="200"/>
      <c r="I8" s="617"/>
      <c r="J8" s="632" t="s">
        <v>436</v>
      </c>
      <c r="K8" s="620" t="s">
        <v>437</v>
      </c>
      <c r="L8" s="633" t="s">
        <v>438</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439</v>
      </c>
      <c r="L9" s="639" t="s">
        <v>135</v>
      </c>
      <c r="M9" s="640" t="s">
        <v>440</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441</v>
      </c>
      <c r="L10" s="639" t="s">
        <v>135</v>
      </c>
      <c r="M10" s="640" t="s">
        <v>442</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398</v>
      </c>
      <c r="O11" s="646" t="s">
        <v>412</v>
      </c>
      <c r="P11" s="646" t="s">
        <v>412</v>
      </c>
      <c r="Q11" s="646" t="s">
        <v>412</v>
      </c>
      <c r="R11" s="646" t="s">
        <v>398</v>
      </c>
      <c r="S11" s="646" t="s">
        <v>412</v>
      </c>
      <c r="T11" s="646" t="s">
        <v>398</v>
      </c>
      <c r="U11" s="646" t="s">
        <v>398</v>
      </c>
      <c r="V11" s="646" t="s">
        <v>412</v>
      </c>
      <c r="W11" s="646" t="s">
        <v>412</v>
      </c>
      <c r="X11" s="646" t="s">
        <v>398</v>
      </c>
      <c r="Y11" s="646" t="s">
        <v>398</v>
      </c>
      <c r="Z11" s="646" t="s">
        <v>412</v>
      </c>
      <c r="AA11" s="646" t="s">
        <v>398</v>
      </c>
      <c r="AB11" s="646" t="s">
        <v>398</v>
      </c>
      <c r="AC11" s="646" t="s">
        <v>412</v>
      </c>
      <c r="AD11" s="646" t="s">
        <v>414</v>
      </c>
      <c r="AE11" s="646" t="s">
        <v>414</v>
      </c>
      <c r="AF11" s="646" t="s">
        <v>398</v>
      </c>
      <c r="AG11" s="646" t="s">
        <v>414</v>
      </c>
      <c r="AH11" s="646" t="s">
        <v>414</v>
      </c>
      <c r="AI11" s="646" t="s">
        <v>414</v>
      </c>
      <c r="AJ11" s="646" t="s">
        <v>414</v>
      </c>
      <c r="AK11" s="646"/>
      <c r="AL11" s="646" t="s">
        <v>414</v>
      </c>
      <c r="AM11" s="646" t="s">
        <v>414</v>
      </c>
      <c r="AN11" s="646" t="s">
        <v>398</v>
      </c>
      <c r="AO11" s="646" t="s">
        <v>414</v>
      </c>
      <c r="AP11" s="646" t="s">
        <v>398</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752</v>
      </c>
      <c r="O12" s="920" t="s">
        <v>398</v>
      </c>
      <c r="P12" s="920" t="s">
        <v>398</v>
      </c>
      <c r="Q12" s="920" t="s">
        <v>398</v>
      </c>
      <c r="R12" s="920" t="s">
        <v>398</v>
      </c>
      <c r="S12" s="920" t="s">
        <v>753</v>
      </c>
      <c r="T12" s="941" t="s">
        <v>412</v>
      </c>
      <c r="U12" s="940" t="s">
        <v>752</v>
      </c>
      <c r="V12" s="920" t="s">
        <v>398</v>
      </c>
      <c r="W12" s="920" t="s">
        <v>412</v>
      </c>
      <c r="X12" s="920" t="s">
        <v>398</v>
      </c>
      <c r="Y12" s="920" t="s">
        <v>412</v>
      </c>
      <c r="Z12" s="920" t="s">
        <v>398</v>
      </c>
      <c r="AA12" s="941" t="s">
        <v>752</v>
      </c>
      <c r="AB12" s="940" t="s">
        <v>752</v>
      </c>
      <c r="AC12" s="920" t="s">
        <v>398</v>
      </c>
      <c r="AD12" s="920" t="s">
        <v>412</v>
      </c>
      <c r="AE12" s="920" t="s">
        <v>398</v>
      </c>
      <c r="AF12" s="920" t="s">
        <v>412</v>
      </c>
      <c r="AG12" s="920" t="s">
        <v>398</v>
      </c>
      <c r="AH12" s="941" t="s">
        <v>398</v>
      </c>
      <c r="AI12" s="940" t="s">
        <v>398</v>
      </c>
      <c r="AJ12" s="920" t="s">
        <v>398</v>
      </c>
      <c r="AK12" s="920"/>
      <c r="AL12" s="920" t="s">
        <v>412</v>
      </c>
      <c r="AM12" s="920" t="s">
        <v>398</v>
      </c>
      <c r="AN12" s="920" t="s">
        <v>412</v>
      </c>
      <c r="AO12" s="920" t="s">
        <v>398</v>
      </c>
      <c r="AP12" s="941" t="s">
        <v>398</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7"/>
      <c r="O13" s="918"/>
      <c r="P13" s="920" t="s">
        <v>398</v>
      </c>
      <c r="Q13" s="918"/>
      <c r="R13" s="918"/>
      <c r="S13" s="920" t="s">
        <v>418</v>
      </c>
      <c r="T13" s="919"/>
      <c r="U13" s="917"/>
      <c r="V13" s="920" t="s">
        <v>398</v>
      </c>
      <c r="W13" s="920" t="s">
        <v>398</v>
      </c>
      <c r="X13" s="918"/>
      <c r="Y13" s="918"/>
      <c r="Z13" s="920" t="s">
        <v>398</v>
      </c>
      <c r="AA13" s="919"/>
      <c r="AB13" s="917"/>
      <c r="AC13" s="918"/>
      <c r="AD13" s="920" t="s">
        <v>398</v>
      </c>
      <c r="AE13" s="918"/>
      <c r="AF13" s="918"/>
      <c r="AG13" s="920" t="s">
        <v>398</v>
      </c>
      <c r="AH13" s="919"/>
      <c r="AI13" s="917"/>
      <c r="AJ13" s="920" t="s">
        <v>398</v>
      </c>
      <c r="AK13" s="920"/>
      <c r="AL13" s="920" t="s">
        <v>398</v>
      </c>
      <c r="AM13" s="918"/>
      <c r="AN13" s="918"/>
      <c r="AO13" s="920" t="s">
        <v>398</v>
      </c>
      <c r="AP13" s="919"/>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398</v>
      </c>
      <c r="Z14" s="646" t="s">
        <v>412</v>
      </c>
      <c r="AA14" s="920" t="s">
        <v>398</v>
      </c>
      <c r="AB14" s="920" t="s">
        <v>398</v>
      </c>
      <c r="AC14" s="646" t="s">
        <v>412</v>
      </c>
      <c r="AD14" s="921" t="s">
        <v>398</v>
      </c>
      <c r="AE14" s="920" t="s">
        <v>398</v>
      </c>
      <c r="AF14" s="646" t="s">
        <v>398</v>
      </c>
      <c r="AG14" s="646" t="s">
        <v>398</v>
      </c>
      <c r="AH14" s="920" t="s">
        <v>398</v>
      </c>
      <c r="AI14" s="920" t="s">
        <v>398</v>
      </c>
      <c r="AJ14" s="646" t="s">
        <v>412</v>
      </c>
      <c r="AK14" s="646"/>
      <c r="AL14" s="646" t="s">
        <v>412</v>
      </c>
      <c r="AM14" s="646" t="s">
        <v>754</v>
      </c>
      <c r="AN14" s="915" t="s">
        <v>412</v>
      </c>
      <c r="AO14" s="920" t="s">
        <v>398</v>
      </c>
      <c r="AP14" s="920" t="s">
        <v>398</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755</v>
      </c>
      <c r="Q15" s="646"/>
      <c r="R15" s="646" t="s">
        <v>756</v>
      </c>
      <c r="S15" s="646"/>
      <c r="T15" s="646"/>
      <c r="U15" s="646"/>
      <c r="V15" s="646"/>
      <c r="W15" s="646"/>
      <c r="X15" s="646"/>
      <c r="Y15" s="646"/>
      <c r="Z15" s="646"/>
      <c r="AA15" s="646"/>
      <c r="AB15" s="646"/>
      <c r="AC15" s="646"/>
      <c r="AD15" s="646"/>
      <c r="AE15" s="646"/>
      <c r="AF15" s="646" t="s">
        <v>757</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758</v>
      </c>
      <c r="Q16" s="646"/>
      <c r="R16" s="646" t="s">
        <v>759</v>
      </c>
      <c r="S16" s="646"/>
      <c r="T16" s="646"/>
      <c r="U16" s="646"/>
      <c r="V16" s="646"/>
      <c r="W16" s="646"/>
      <c r="X16" s="646"/>
      <c r="Y16" s="646"/>
      <c r="Z16" s="646"/>
      <c r="AA16" s="646"/>
      <c r="AB16" s="646"/>
      <c r="AC16" s="646"/>
      <c r="AD16" s="646"/>
      <c r="AE16" s="646"/>
      <c r="AF16" s="646" t="s">
        <v>758</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450</v>
      </c>
      <c r="L17" s="639" t="s">
        <v>451</v>
      </c>
      <c r="M17" s="645"/>
      <c r="N17" s="646" t="s">
        <v>418</v>
      </c>
      <c r="O17" s="646" t="s">
        <v>398</v>
      </c>
      <c r="P17" s="646" t="s">
        <v>398</v>
      </c>
      <c r="Q17" s="646"/>
      <c r="R17" s="646"/>
      <c r="S17" s="646" t="s">
        <v>398</v>
      </c>
      <c r="T17" s="646" t="s">
        <v>418</v>
      </c>
      <c r="U17" s="646" t="s">
        <v>418</v>
      </c>
      <c r="V17" s="646" t="s">
        <v>398</v>
      </c>
      <c r="W17" s="646" t="s">
        <v>398</v>
      </c>
      <c r="X17" s="646" t="s">
        <v>418</v>
      </c>
      <c r="Y17" s="646"/>
      <c r="Z17" s="646" t="s">
        <v>418</v>
      </c>
      <c r="AA17" s="646" t="s">
        <v>418</v>
      </c>
      <c r="AB17" s="646" t="s">
        <v>418</v>
      </c>
      <c r="AC17" s="646" t="s">
        <v>398</v>
      </c>
      <c r="AD17" s="646" t="s">
        <v>398</v>
      </c>
      <c r="AE17" s="646"/>
      <c r="AF17" s="646" t="s">
        <v>398</v>
      </c>
      <c r="AG17" s="646"/>
      <c r="AH17" s="646" t="s">
        <v>418</v>
      </c>
      <c r="AI17" s="646" t="s">
        <v>418</v>
      </c>
      <c r="AJ17" s="646" t="s">
        <v>418</v>
      </c>
      <c r="AK17" s="646"/>
      <c r="AL17" s="646" t="s">
        <v>398</v>
      </c>
      <c r="AM17" s="646" t="s">
        <v>398</v>
      </c>
      <c r="AN17" s="646" t="s">
        <v>398</v>
      </c>
      <c r="AO17" s="646" t="s">
        <v>418</v>
      </c>
      <c r="AP17" s="646" t="s">
        <v>418</v>
      </c>
      <c r="AQ17" s="646"/>
      <c r="AR17" s="646"/>
      <c r="AS17" s="641"/>
      <c r="AT17" s="647">
        <f t="array" ref="AT17">SUM(COUNTIF(N17:AS17, {"◎","〇","☆","共","特","浴"}))</f>
        <v>11</v>
      </c>
      <c r="AU17" s="651"/>
      <c r="AV17" s="649"/>
      <c r="AW17" s="649"/>
      <c r="AX17" s="649"/>
      <c r="AY17" s="649"/>
      <c r="AZ17" s="649"/>
      <c r="BA17" s="649"/>
      <c r="BB17" s="649"/>
      <c r="BC17" s="652" t="s">
        <v>608</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453</v>
      </c>
      <c r="L18" s="639" t="s">
        <v>451</v>
      </c>
      <c r="M18" s="645"/>
      <c r="N18" s="646"/>
      <c r="O18" s="646" t="s">
        <v>398</v>
      </c>
      <c r="P18" s="646" t="s">
        <v>398</v>
      </c>
      <c r="Q18" s="646"/>
      <c r="R18" s="646" t="s">
        <v>398</v>
      </c>
      <c r="S18" s="646"/>
      <c r="T18" s="646"/>
      <c r="U18" s="646"/>
      <c r="V18" s="646" t="s">
        <v>398</v>
      </c>
      <c r="W18" s="646" t="s">
        <v>398</v>
      </c>
      <c r="X18" s="646"/>
      <c r="Y18" s="646" t="s">
        <v>398</v>
      </c>
      <c r="Z18" s="646"/>
      <c r="AA18" s="646"/>
      <c r="AB18" s="646"/>
      <c r="AC18" s="646" t="s">
        <v>398</v>
      </c>
      <c r="AD18" s="646" t="s">
        <v>398</v>
      </c>
      <c r="AE18" s="646"/>
      <c r="AF18" s="646" t="s">
        <v>398</v>
      </c>
      <c r="AG18" s="646"/>
      <c r="AH18" s="646"/>
      <c r="AI18" s="646"/>
      <c r="AJ18" s="646" t="s">
        <v>398</v>
      </c>
      <c r="AK18" s="646"/>
      <c r="AL18" s="646" t="s">
        <v>398</v>
      </c>
      <c r="AM18" s="646"/>
      <c r="AN18" s="646" t="s">
        <v>398</v>
      </c>
      <c r="AO18" s="646"/>
      <c r="AP18" s="646"/>
      <c r="AQ18" s="646"/>
      <c r="AR18" s="646"/>
      <c r="AS18" s="641"/>
      <c r="AT18" s="647">
        <f t="array" ref="AT18">SUM(COUNTIF(N18:AS18, {"◎","〇","☆","共","特","浴"}))</f>
        <v>12</v>
      </c>
      <c r="AU18" s="648"/>
      <c r="AV18" s="649"/>
      <c r="AW18" s="649"/>
      <c r="AX18" s="649"/>
      <c r="AY18" s="649"/>
      <c r="AZ18" s="649"/>
      <c r="BA18" s="649"/>
      <c r="BB18" s="649"/>
      <c r="BC18" s="652" t="s">
        <v>609</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451</v>
      </c>
      <c r="M19" s="645"/>
      <c r="N19" s="646"/>
      <c r="O19" s="646"/>
      <c r="P19" s="646" t="s">
        <v>418</v>
      </c>
      <c r="Q19" s="646" t="s">
        <v>398</v>
      </c>
      <c r="R19" s="646" t="s">
        <v>398</v>
      </c>
      <c r="S19" s="646" t="s">
        <v>398</v>
      </c>
      <c r="T19" s="646"/>
      <c r="U19" s="646"/>
      <c r="V19" s="646"/>
      <c r="W19" s="646"/>
      <c r="X19" s="646" t="s">
        <v>418</v>
      </c>
      <c r="Y19" s="646" t="s">
        <v>398</v>
      </c>
      <c r="Z19" s="646" t="s">
        <v>398</v>
      </c>
      <c r="AA19" s="646"/>
      <c r="AB19" s="646"/>
      <c r="AC19" s="646" t="s">
        <v>398</v>
      </c>
      <c r="AD19" s="646" t="s">
        <v>418</v>
      </c>
      <c r="AE19" s="646" t="s">
        <v>398</v>
      </c>
      <c r="AF19" s="646" t="s">
        <v>398</v>
      </c>
      <c r="AG19" s="646" t="s">
        <v>398</v>
      </c>
      <c r="AH19" s="646"/>
      <c r="AI19" s="646"/>
      <c r="AJ19" s="646" t="s">
        <v>418</v>
      </c>
      <c r="AK19" s="646"/>
      <c r="AL19" s="646" t="s">
        <v>398</v>
      </c>
      <c r="AM19" s="646" t="s">
        <v>398</v>
      </c>
      <c r="AN19" s="646"/>
      <c r="AO19" s="646" t="s">
        <v>398</v>
      </c>
      <c r="AP19" s="646"/>
      <c r="AQ19" s="646"/>
      <c r="AR19" s="646"/>
      <c r="AS19" s="641"/>
      <c r="AT19" s="647">
        <f t="array" ref="AT19">SUM(COUNTIF(N19:AS19, {"◎","〇","☆","共","特","浴"}))</f>
        <v>12</v>
      </c>
      <c r="AU19" s="651"/>
      <c r="AV19" s="649"/>
      <c r="AW19" s="649"/>
      <c r="AX19" s="649"/>
      <c r="AY19" s="649"/>
      <c r="AZ19" s="649"/>
      <c r="BA19" s="649"/>
      <c r="BB19" s="649"/>
      <c r="BC19" s="652" t="s">
        <v>610</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454</v>
      </c>
      <c r="L20" s="639" t="s">
        <v>451</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398</v>
      </c>
      <c r="AQ20" s="646"/>
      <c r="AR20" s="646"/>
      <c r="AS20" s="646"/>
      <c r="AT20" s="647">
        <f t="array" ref="AT20">SUM(COUNTIF(N20:AS20, {"◎","〇","☆","共","特","浴"}))</f>
        <v>1</v>
      </c>
      <c r="AU20" s="651"/>
      <c r="AV20" s="649"/>
      <c r="AW20" s="649"/>
      <c r="AX20" s="649"/>
      <c r="AY20" s="649"/>
      <c r="AZ20" s="649"/>
      <c r="BA20" s="649"/>
      <c r="BB20" s="649"/>
      <c r="BC20" s="942" t="s">
        <v>760</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456</v>
      </c>
      <c r="L21" s="639" t="s">
        <v>451</v>
      </c>
      <c r="M21" s="645"/>
      <c r="N21" s="646" t="s">
        <v>418</v>
      </c>
      <c r="O21" s="646" t="s">
        <v>398</v>
      </c>
      <c r="P21" s="646"/>
      <c r="Q21" s="646" t="s">
        <v>398</v>
      </c>
      <c r="R21" s="646"/>
      <c r="S21" s="646"/>
      <c r="T21" s="646" t="s">
        <v>398</v>
      </c>
      <c r="U21" s="646" t="s">
        <v>398</v>
      </c>
      <c r="V21" s="646"/>
      <c r="W21" s="646"/>
      <c r="X21" s="646" t="s">
        <v>398</v>
      </c>
      <c r="Y21" s="646"/>
      <c r="Z21" s="646"/>
      <c r="AA21" s="646" t="s">
        <v>398</v>
      </c>
      <c r="AB21" s="646" t="s">
        <v>398</v>
      </c>
      <c r="AC21" s="646"/>
      <c r="AD21" s="646"/>
      <c r="AE21" s="646" t="s">
        <v>398</v>
      </c>
      <c r="AF21" s="646"/>
      <c r="AG21" s="646"/>
      <c r="AH21" s="646" t="s">
        <v>398</v>
      </c>
      <c r="AI21" s="646" t="s">
        <v>398</v>
      </c>
      <c r="AJ21" s="646" t="s">
        <v>398</v>
      </c>
      <c r="AK21" s="646"/>
      <c r="AL21" s="646"/>
      <c r="AM21" s="646" t="s">
        <v>398</v>
      </c>
      <c r="AN21" s="646"/>
      <c r="AO21" s="646"/>
      <c r="AP21" s="646" t="s">
        <v>398</v>
      </c>
      <c r="AQ21" s="646"/>
      <c r="AR21" s="646"/>
      <c r="AS21" s="641"/>
      <c r="AT21" s="647">
        <f t="array" ref="AT21">SUM(COUNTIF(N21:AS21, {"◎","〇","☆","共","特","浴"}))</f>
        <v>13</v>
      </c>
      <c r="AU21" s="651"/>
      <c r="AV21" s="649"/>
      <c r="AW21" s="649"/>
      <c r="AX21" s="649"/>
      <c r="AY21" s="649"/>
      <c r="AZ21" s="649"/>
      <c r="BA21" s="649"/>
      <c r="BB21" s="649"/>
      <c r="BC21" s="652" t="s">
        <v>612</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525</v>
      </c>
      <c r="L22" s="639" t="s">
        <v>761</v>
      </c>
      <c r="M22" s="645"/>
      <c r="N22" s="646" t="s">
        <v>221</v>
      </c>
      <c r="O22" s="646"/>
      <c r="P22" s="646"/>
      <c r="Q22" s="646"/>
      <c r="R22" s="646"/>
      <c r="S22" s="646"/>
      <c r="T22" s="646" t="s">
        <v>221</v>
      </c>
      <c r="U22" s="646" t="s">
        <v>221</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478</v>
      </c>
      <c r="M23" s="645"/>
      <c r="N23" s="646" t="s">
        <v>398</v>
      </c>
      <c r="O23" s="646" t="s">
        <v>192</v>
      </c>
      <c r="P23" s="646" t="s">
        <v>192</v>
      </c>
      <c r="Q23" s="646" t="s">
        <v>192</v>
      </c>
      <c r="R23" s="646" t="s">
        <v>192</v>
      </c>
      <c r="S23" s="646"/>
      <c r="T23" s="646" t="s">
        <v>398</v>
      </c>
      <c r="U23" s="646" t="s">
        <v>398</v>
      </c>
      <c r="V23" s="646" t="s">
        <v>192</v>
      </c>
      <c r="W23" s="646" t="s">
        <v>192</v>
      </c>
      <c r="X23" s="646" t="s">
        <v>192</v>
      </c>
      <c r="Y23" s="646" t="s">
        <v>192</v>
      </c>
      <c r="Z23" s="646"/>
      <c r="AA23" s="646" t="s">
        <v>398</v>
      </c>
      <c r="AB23" s="646" t="s">
        <v>398</v>
      </c>
      <c r="AC23" s="646" t="s">
        <v>192</v>
      </c>
      <c r="AD23" s="646" t="s">
        <v>192</v>
      </c>
      <c r="AE23" s="646" t="s">
        <v>192</v>
      </c>
      <c r="AF23" s="646"/>
      <c r="AG23" s="646"/>
      <c r="AH23" s="646" t="s">
        <v>398</v>
      </c>
      <c r="AI23" s="646" t="s">
        <v>398</v>
      </c>
      <c r="AJ23" s="646" t="s">
        <v>192</v>
      </c>
      <c r="AK23" s="646"/>
      <c r="AL23" s="646"/>
      <c r="AM23" s="646" t="s">
        <v>192</v>
      </c>
      <c r="AN23" s="646" t="s">
        <v>192</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458</v>
      </c>
      <c r="C24" s="637"/>
      <c r="D24" s="200"/>
      <c r="E24" s="636" t="s">
        <v>458</v>
      </c>
      <c r="F24" s="637"/>
      <c r="G24" s="200"/>
      <c r="H24" s="200"/>
      <c r="I24" s="172" t="b">
        <v>0</v>
      </c>
      <c r="J24" s="618"/>
      <c r="K24" s="638" t="s">
        <v>458</v>
      </c>
      <c r="L24" s="639" t="s">
        <v>451</v>
      </c>
      <c r="M24" s="645"/>
      <c r="N24" s="646"/>
      <c r="O24" s="646"/>
      <c r="P24" s="646"/>
      <c r="Q24" s="646"/>
      <c r="R24" s="646"/>
      <c r="S24" s="646"/>
      <c r="T24" s="646"/>
      <c r="U24" s="646"/>
      <c r="V24" s="646"/>
      <c r="W24" s="646"/>
      <c r="X24" s="646"/>
      <c r="Y24" s="646" t="s">
        <v>192</v>
      </c>
      <c r="Z24" s="646"/>
      <c r="AA24" s="646"/>
      <c r="AB24" s="646"/>
      <c r="AC24" s="646"/>
      <c r="AD24" s="646"/>
      <c r="AE24" s="646"/>
      <c r="AF24" s="646" t="s">
        <v>192</v>
      </c>
      <c r="AG24" s="646"/>
      <c r="AH24" s="646"/>
      <c r="AI24" s="646"/>
      <c r="AJ24" s="646"/>
      <c r="AK24" s="646"/>
      <c r="AL24" s="646"/>
      <c r="AM24" s="646"/>
      <c r="AN24" s="646" t="s">
        <v>192</v>
      </c>
      <c r="AO24" s="646"/>
      <c r="AP24" s="646" t="s">
        <v>192</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460</v>
      </c>
      <c r="L26" s="639" t="s">
        <v>602</v>
      </c>
      <c r="M26" s="645"/>
      <c r="N26" s="646" t="s">
        <v>461</v>
      </c>
      <c r="O26" s="646"/>
      <c r="P26" s="646"/>
      <c r="Q26" s="646" t="s">
        <v>461</v>
      </c>
      <c r="R26" s="646" t="s">
        <v>461</v>
      </c>
      <c r="S26" s="646" t="s">
        <v>461</v>
      </c>
      <c r="T26" s="646" t="s">
        <v>461</v>
      </c>
      <c r="U26" s="646" t="s">
        <v>461</v>
      </c>
      <c r="V26" s="646"/>
      <c r="W26" s="646"/>
      <c r="X26" s="646" t="s">
        <v>461</v>
      </c>
      <c r="Y26" s="646" t="s">
        <v>461</v>
      </c>
      <c r="Z26" s="646" t="s">
        <v>461</v>
      </c>
      <c r="AA26" s="646" t="s">
        <v>461</v>
      </c>
      <c r="AB26" s="646" t="s">
        <v>461</v>
      </c>
      <c r="AC26" s="646"/>
      <c r="AD26" s="646"/>
      <c r="AE26" s="646" t="s">
        <v>461</v>
      </c>
      <c r="AF26" s="646" t="s">
        <v>461</v>
      </c>
      <c r="AG26" s="646" t="s">
        <v>461</v>
      </c>
      <c r="AH26" s="646" t="s">
        <v>461</v>
      </c>
      <c r="AI26" s="646" t="s">
        <v>461</v>
      </c>
      <c r="AJ26" s="646"/>
      <c r="AK26" s="646"/>
      <c r="AL26" s="646"/>
      <c r="AM26" s="646" t="s">
        <v>461</v>
      </c>
      <c r="AN26" s="646" t="s">
        <v>461</v>
      </c>
      <c r="AO26" s="646" t="s">
        <v>461</v>
      </c>
      <c r="AP26" s="646" t="s">
        <v>461</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3"/>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463</v>
      </c>
      <c r="L27" s="639" t="s">
        <v>602</v>
      </c>
      <c r="M27" s="645"/>
      <c r="N27" s="646"/>
      <c r="O27" s="646" t="s">
        <v>461</v>
      </c>
      <c r="P27" s="646" t="s">
        <v>461</v>
      </c>
      <c r="Q27" s="646"/>
      <c r="R27" s="646"/>
      <c r="S27" s="646"/>
      <c r="T27" s="646"/>
      <c r="U27" s="646"/>
      <c r="V27" s="646" t="s">
        <v>461</v>
      </c>
      <c r="W27" s="646" t="s">
        <v>461</v>
      </c>
      <c r="X27" s="646"/>
      <c r="Y27" s="646"/>
      <c r="Z27" s="646"/>
      <c r="AA27" s="646"/>
      <c r="AB27" s="646"/>
      <c r="AC27" s="646" t="s">
        <v>461</v>
      </c>
      <c r="AD27" s="646" t="s">
        <v>461</v>
      </c>
      <c r="AE27" s="646"/>
      <c r="AF27" s="646"/>
      <c r="AG27" s="646"/>
      <c r="AH27" s="646"/>
      <c r="AI27" s="646"/>
      <c r="AJ27" s="646" t="s">
        <v>461</v>
      </c>
      <c r="AK27" s="646"/>
      <c r="AL27" s="646" t="s">
        <v>461</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3"/>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3"/>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3"/>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3"/>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3"/>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3"/>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3"/>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3"/>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3"/>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3"/>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3"/>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3"/>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3"/>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3"/>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3"/>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465</v>
      </c>
      <c r="L42" s="639" t="s">
        <v>451</v>
      </c>
      <c r="M42" s="640" t="s">
        <v>192</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3"/>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466</v>
      </c>
      <c r="L43" s="639" t="s">
        <v>451</v>
      </c>
      <c r="M43" s="640" t="s">
        <v>401</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3"/>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5" t="b">
        <v>0</v>
      </c>
      <c r="J44" s="618"/>
      <c r="K44" s="656" t="s">
        <v>467</v>
      </c>
      <c r="L44" s="657" t="s">
        <v>449</v>
      </c>
      <c r="M44" s="658"/>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59"/>
      <c r="AW44" s="659"/>
      <c r="AX44" s="659"/>
      <c r="AY44" s="659"/>
      <c r="AZ44" s="659"/>
      <c r="BA44" s="659"/>
      <c r="BB44" s="659"/>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3"/>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468</v>
      </c>
      <c r="L45" s="639" t="s">
        <v>449</v>
      </c>
      <c r="M45" s="640" t="s">
        <v>469</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3"/>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470</v>
      </c>
      <c r="L46" s="639" t="s">
        <v>471</v>
      </c>
      <c r="M46" s="645"/>
      <c r="N46" s="646"/>
      <c r="O46" s="646" t="s">
        <v>192</v>
      </c>
      <c r="P46" s="646"/>
      <c r="Q46" s="646" t="s">
        <v>192</v>
      </c>
      <c r="R46" s="646" t="s">
        <v>192</v>
      </c>
      <c r="S46" s="646" t="s">
        <v>192</v>
      </c>
      <c r="T46" s="646" t="s">
        <v>192</v>
      </c>
      <c r="U46" s="646"/>
      <c r="V46" s="646" t="s">
        <v>192</v>
      </c>
      <c r="W46" s="646"/>
      <c r="X46" s="646" t="s">
        <v>192</v>
      </c>
      <c r="Y46" s="646" t="s">
        <v>192</v>
      </c>
      <c r="Z46" s="646" t="s">
        <v>192</v>
      </c>
      <c r="AA46" s="646" t="s">
        <v>192</v>
      </c>
      <c r="AB46" s="646"/>
      <c r="AC46" s="646" t="s">
        <v>192</v>
      </c>
      <c r="AD46" s="646" t="s">
        <v>192</v>
      </c>
      <c r="AE46" s="646"/>
      <c r="AF46" s="646" t="s">
        <v>192</v>
      </c>
      <c r="AG46" s="646" t="s">
        <v>192</v>
      </c>
      <c r="AH46" s="646" t="s">
        <v>192</v>
      </c>
      <c r="AI46" s="646"/>
      <c r="AJ46" s="646" t="s">
        <v>192</v>
      </c>
      <c r="AK46" s="646"/>
      <c r="AL46" s="646" t="s">
        <v>192</v>
      </c>
      <c r="AM46" s="646" t="s">
        <v>192</v>
      </c>
      <c r="AN46" s="646" t="s">
        <v>192</v>
      </c>
      <c r="AO46" s="646" t="s">
        <v>192</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3"/>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472</v>
      </c>
      <c r="L47" s="639" t="s">
        <v>471</v>
      </c>
      <c r="M47" s="645"/>
      <c r="N47" s="646"/>
      <c r="O47" s="646" t="s">
        <v>192</v>
      </c>
      <c r="P47" s="646" t="s">
        <v>192</v>
      </c>
      <c r="Q47" s="646" t="s">
        <v>192</v>
      </c>
      <c r="R47" s="646" t="s">
        <v>192</v>
      </c>
      <c r="S47" s="646" t="s">
        <v>192</v>
      </c>
      <c r="T47" s="646"/>
      <c r="U47" s="646"/>
      <c r="V47" s="646" t="s">
        <v>192</v>
      </c>
      <c r="W47" s="646" t="s">
        <v>192</v>
      </c>
      <c r="X47" s="646"/>
      <c r="Y47" s="646" t="s">
        <v>192</v>
      </c>
      <c r="Z47" s="646" t="s">
        <v>192</v>
      </c>
      <c r="AA47" s="646" t="s">
        <v>192</v>
      </c>
      <c r="AB47" s="646"/>
      <c r="AC47" s="646"/>
      <c r="AD47" s="646"/>
      <c r="AE47" s="646" t="s">
        <v>192</v>
      </c>
      <c r="AF47" s="646" t="s">
        <v>192</v>
      </c>
      <c r="AG47" s="646" t="s">
        <v>192</v>
      </c>
      <c r="AH47" s="646" t="s">
        <v>192</v>
      </c>
      <c r="AI47" s="646"/>
      <c r="AJ47" s="646"/>
      <c r="AK47" s="646"/>
      <c r="AL47" s="646" t="s">
        <v>192</v>
      </c>
      <c r="AM47" s="646" t="s">
        <v>192</v>
      </c>
      <c r="AN47" s="646" t="s">
        <v>192</v>
      </c>
      <c r="AO47" s="646" t="s">
        <v>192</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3"/>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471</v>
      </c>
      <c r="M48" s="645"/>
      <c r="N48" s="646" t="s">
        <v>192</v>
      </c>
      <c r="O48" s="646" t="s">
        <v>192</v>
      </c>
      <c r="P48" s="646" t="s">
        <v>192</v>
      </c>
      <c r="Q48" s="646"/>
      <c r="R48" s="646" t="s">
        <v>192</v>
      </c>
      <c r="S48" s="646" t="s">
        <v>192</v>
      </c>
      <c r="T48" s="646" t="s">
        <v>192</v>
      </c>
      <c r="U48" s="646" t="s">
        <v>192</v>
      </c>
      <c r="V48" s="646" t="s">
        <v>192</v>
      </c>
      <c r="W48" s="646" t="s">
        <v>192</v>
      </c>
      <c r="X48" s="646"/>
      <c r="Y48" s="646" t="s">
        <v>192</v>
      </c>
      <c r="Z48" s="646" t="s">
        <v>192</v>
      </c>
      <c r="AA48" s="646" t="s">
        <v>192</v>
      </c>
      <c r="AB48" s="646" t="s">
        <v>192</v>
      </c>
      <c r="AC48" s="646" t="s">
        <v>192</v>
      </c>
      <c r="AD48" s="646" t="s">
        <v>192</v>
      </c>
      <c r="AE48" s="646"/>
      <c r="AF48" s="646" t="s">
        <v>192</v>
      </c>
      <c r="AG48" s="646" t="s">
        <v>192</v>
      </c>
      <c r="AH48" s="646" t="s">
        <v>192</v>
      </c>
      <c r="AI48" s="646" t="s">
        <v>192</v>
      </c>
      <c r="AJ48" s="646" t="s">
        <v>192</v>
      </c>
      <c r="AK48" s="646"/>
      <c r="AL48" s="646" t="s">
        <v>192</v>
      </c>
      <c r="AM48" s="646"/>
      <c r="AN48" s="646" t="s">
        <v>192</v>
      </c>
      <c r="AO48" s="646" t="s">
        <v>192</v>
      </c>
      <c r="AP48" s="646" t="s">
        <v>192</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3"/>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475</v>
      </c>
      <c r="L49" s="639" t="s">
        <v>471</v>
      </c>
      <c r="M49" s="645"/>
      <c r="N49" s="646" t="s">
        <v>192</v>
      </c>
      <c r="O49" s="646" t="s">
        <v>192</v>
      </c>
      <c r="P49" s="646" t="s">
        <v>192</v>
      </c>
      <c r="Q49" s="646" t="s">
        <v>192</v>
      </c>
      <c r="R49" s="646" t="s">
        <v>192</v>
      </c>
      <c r="S49" s="646"/>
      <c r="T49" s="646" t="s">
        <v>192</v>
      </c>
      <c r="U49" s="646" t="s">
        <v>192</v>
      </c>
      <c r="V49" s="646" t="s">
        <v>192</v>
      </c>
      <c r="W49" s="646" t="s">
        <v>192</v>
      </c>
      <c r="X49" s="646" t="s">
        <v>192</v>
      </c>
      <c r="Y49" s="646" t="s">
        <v>192</v>
      </c>
      <c r="Z49" s="646"/>
      <c r="AA49" s="646" t="s">
        <v>192</v>
      </c>
      <c r="AB49" s="646" t="s">
        <v>192</v>
      </c>
      <c r="AC49" s="646" t="s">
        <v>192</v>
      </c>
      <c r="AD49" s="646" t="s">
        <v>192</v>
      </c>
      <c r="AE49" s="646" t="s">
        <v>192</v>
      </c>
      <c r="AF49" s="646" t="s">
        <v>192</v>
      </c>
      <c r="AG49" s="646"/>
      <c r="AH49" s="646"/>
      <c r="AI49" s="646" t="s">
        <v>192</v>
      </c>
      <c r="AJ49" s="646" t="s">
        <v>192</v>
      </c>
      <c r="AK49" s="646"/>
      <c r="AL49" s="646" t="s">
        <v>192</v>
      </c>
      <c r="AM49" s="646" t="s">
        <v>192</v>
      </c>
      <c r="AN49" s="646" t="s">
        <v>192</v>
      </c>
      <c r="AO49" s="646"/>
      <c r="AP49" s="646" t="s">
        <v>192</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3"/>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474</v>
      </c>
      <c r="L50" s="639" t="s">
        <v>471</v>
      </c>
      <c r="M50" s="645"/>
      <c r="N50" s="646" t="s">
        <v>192</v>
      </c>
      <c r="O50" s="641"/>
      <c r="P50" s="641"/>
      <c r="Q50" s="646" t="s">
        <v>192</v>
      </c>
      <c r="R50" s="646" t="s">
        <v>192</v>
      </c>
      <c r="S50" s="646" t="s">
        <v>192</v>
      </c>
      <c r="T50" s="646" t="s">
        <v>192</v>
      </c>
      <c r="U50" s="646" t="s">
        <v>192</v>
      </c>
      <c r="V50" s="641"/>
      <c r="W50" s="641"/>
      <c r="X50" s="646" t="s">
        <v>192</v>
      </c>
      <c r="Y50" s="646" t="s">
        <v>192</v>
      </c>
      <c r="Z50" s="646" t="s">
        <v>192</v>
      </c>
      <c r="AA50" s="646" t="s">
        <v>192</v>
      </c>
      <c r="AB50" s="646" t="s">
        <v>192</v>
      </c>
      <c r="AC50" s="641"/>
      <c r="AD50" s="641"/>
      <c r="AE50" s="646" t="s">
        <v>192</v>
      </c>
      <c r="AF50" s="646" t="s">
        <v>192</v>
      </c>
      <c r="AG50" s="646" t="s">
        <v>192</v>
      </c>
      <c r="AH50" s="646" t="s">
        <v>192</v>
      </c>
      <c r="AI50" s="646" t="s">
        <v>192</v>
      </c>
      <c r="AJ50" s="646" t="s">
        <v>192</v>
      </c>
      <c r="AK50" s="646"/>
      <c r="AL50" s="641"/>
      <c r="AM50" s="646" t="s">
        <v>192</v>
      </c>
      <c r="AN50" s="646" t="s">
        <v>192</v>
      </c>
      <c r="AO50" s="646" t="s">
        <v>192</v>
      </c>
      <c r="AP50" s="646" t="s">
        <v>192</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3"/>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480</v>
      </c>
      <c r="L51" s="639" t="s">
        <v>471</v>
      </c>
      <c r="M51" s="645"/>
      <c r="N51" s="646"/>
      <c r="O51" s="646" t="s">
        <v>192</v>
      </c>
      <c r="P51" s="646" t="s">
        <v>192</v>
      </c>
      <c r="Q51" s="646" t="s">
        <v>192</v>
      </c>
      <c r="R51" s="646" t="s">
        <v>192</v>
      </c>
      <c r="S51" s="646"/>
      <c r="T51" s="646"/>
      <c r="U51" s="646"/>
      <c r="V51" s="646" t="s">
        <v>192</v>
      </c>
      <c r="W51" s="646" t="s">
        <v>192</v>
      </c>
      <c r="X51" s="646" t="s">
        <v>192</v>
      </c>
      <c r="Y51" s="646" t="s">
        <v>192</v>
      </c>
      <c r="Z51" s="646"/>
      <c r="AA51" s="646"/>
      <c r="AB51" s="646"/>
      <c r="AC51" s="646" t="s">
        <v>192</v>
      </c>
      <c r="AD51" s="646" t="s">
        <v>192</v>
      </c>
      <c r="AE51" s="646" t="s">
        <v>192</v>
      </c>
      <c r="AF51" s="646" t="s">
        <v>192</v>
      </c>
      <c r="AG51" s="646"/>
      <c r="AH51" s="646"/>
      <c r="AI51" s="646"/>
      <c r="AJ51" s="646" t="s">
        <v>192</v>
      </c>
      <c r="AK51" s="646"/>
      <c r="AL51" s="646" t="s">
        <v>192</v>
      </c>
      <c r="AM51" s="646" t="s">
        <v>192</v>
      </c>
      <c r="AN51" s="646" t="s">
        <v>192</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3"/>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487</v>
      </c>
      <c r="L52" s="639" t="s">
        <v>478</v>
      </c>
      <c r="M52" s="640"/>
      <c r="N52" s="646" t="s">
        <v>192</v>
      </c>
      <c r="O52" s="646"/>
      <c r="P52" s="646"/>
      <c r="Q52" s="646"/>
      <c r="R52" s="646"/>
      <c r="S52" s="646"/>
      <c r="T52" s="646"/>
      <c r="U52" s="646" t="s">
        <v>192</v>
      </c>
      <c r="V52" s="646"/>
      <c r="W52" s="646"/>
      <c r="X52" s="646" t="s">
        <v>192</v>
      </c>
      <c r="Y52" s="646"/>
      <c r="Z52" s="646"/>
      <c r="AA52" s="646"/>
      <c r="AB52" s="646" t="s">
        <v>192</v>
      </c>
      <c r="AC52" s="646"/>
      <c r="AD52" s="646"/>
      <c r="AE52" s="646"/>
      <c r="AF52" s="646"/>
      <c r="AG52" s="646"/>
      <c r="AH52" s="646"/>
      <c r="AI52" s="646" t="s">
        <v>192</v>
      </c>
      <c r="AJ52" s="646" t="s">
        <v>192</v>
      </c>
      <c r="AK52" s="646"/>
      <c r="AL52" s="646"/>
      <c r="AM52" s="646"/>
      <c r="AN52" s="646"/>
      <c r="AO52" s="646"/>
      <c r="AP52" s="646" t="s">
        <v>192</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3"/>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482</v>
      </c>
      <c r="L53" s="639" t="s">
        <v>471</v>
      </c>
      <c r="M53" s="640"/>
      <c r="N53" s="646" t="s">
        <v>192</v>
      </c>
      <c r="O53" s="646" t="s">
        <v>192</v>
      </c>
      <c r="P53" s="646" t="s">
        <v>192</v>
      </c>
      <c r="Q53" s="646"/>
      <c r="R53" s="646"/>
      <c r="S53" s="646"/>
      <c r="T53" s="646"/>
      <c r="U53" s="646" t="s">
        <v>192</v>
      </c>
      <c r="V53" s="646" t="s">
        <v>192</v>
      </c>
      <c r="W53" s="646" t="s">
        <v>192</v>
      </c>
      <c r="X53" s="646"/>
      <c r="Y53" s="646"/>
      <c r="Z53" s="646"/>
      <c r="AA53" s="646"/>
      <c r="AB53" s="646" t="s">
        <v>192</v>
      </c>
      <c r="AC53" s="646" t="s">
        <v>192</v>
      </c>
      <c r="AD53" s="646" t="s">
        <v>192</v>
      </c>
      <c r="AE53" s="646"/>
      <c r="AF53" s="646"/>
      <c r="AG53" s="646"/>
      <c r="AH53" s="646"/>
      <c r="AI53" s="646" t="s">
        <v>192</v>
      </c>
      <c r="AJ53" s="646" t="s">
        <v>192</v>
      </c>
      <c r="AK53" s="646"/>
      <c r="AL53" s="646" t="s">
        <v>192</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3"/>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478</v>
      </c>
      <c r="M54" s="645"/>
      <c r="N54" s="646" t="s">
        <v>192</v>
      </c>
      <c r="O54" s="646"/>
      <c r="P54" s="646" t="s">
        <v>192</v>
      </c>
      <c r="Q54" s="646" t="s">
        <v>192</v>
      </c>
      <c r="R54" s="646"/>
      <c r="S54" s="646"/>
      <c r="T54" s="646" t="s">
        <v>192</v>
      </c>
      <c r="U54" s="646" t="s">
        <v>192</v>
      </c>
      <c r="V54" s="646"/>
      <c r="W54" s="646" t="s">
        <v>192</v>
      </c>
      <c r="X54" s="646" t="s">
        <v>192</v>
      </c>
      <c r="Y54" s="646"/>
      <c r="Z54" s="646"/>
      <c r="AA54" s="646" t="s">
        <v>192</v>
      </c>
      <c r="AB54" s="646" t="s">
        <v>192</v>
      </c>
      <c r="AC54" s="646"/>
      <c r="AD54" s="646" t="s">
        <v>192</v>
      </c>
      <c r="AE54" s="646" t="s">
        <v>192</v>
      </c>
      <c r="AF54" s="646"/>
      <c r="AG54" s="646"/>
      <c r="AH54" s="646" t="s">
        <v>192</v>
      </c>
      <c r="AI54" s="646" t="s">
        <v>192</v>
      </c>
      <c r="AJ54" s="646"/>
      <c r="AK54" s="646"/>
      <c r="AL54" s="646" t="s">
        <v>192</v>
      </c>
      <c r="AM54" s="646" t="s">
        <v>192</v>
      </c>
      <c r="AN54" s="646"/>
      <c r="AO54" s="646"/>
      <c r="AP54" s="646" t="s">
        <v>192</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3"/>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477</v>
      </c>
      <c r="L55" s="639" t="s">
        <v>478</v>
      </c>
      <c r="M55" s="645"/>
      <c r="N55" s="646"/>
      <c r="O55" s="646"/>
      <c r="P55" s="646"/>
      <c r="Q55" s="646" t="s">
        <v>192</v>
      </c>
      <c r="R55" s="646" t="s">
        <v>192</v>
      </c>
      <c r="S55" s="646" t="s">
        <v>192</v>
      </c>
      <c r="T55" s="646"/>
      <c r="U55" s="646"/>
      <c r="V55" s="646"/>
      <c r="W55" s="646"/>
      <c r="X55" s="646" t="s">
        <v>192</v>
      </c>
      <c r="Y55" s="646" t="s">
        <v>192</v>
      </c>
      <c r="Z55" s="646" t="s">
        <v>192</v>
      </c>
      <c r="AA55" s="646"/>
      <c r="AB55" s="646"/>
      <c r="AC55" s="646"/>
      <c r="AD55" s="646"/>
      <c r="AE55" s="646" t="s">
        <v>192</v>
      </c>
      <c r="AF55" s="646" t="s">
        <v>192</v>
      </c>
      <c r="AG55" s="646" t="s">
        <v>192</v>
      </c>
      <c r="AH55" s="646"/>
      <c r="AI55" s="646"/>
      <c r="AJ55" s="646"/>
      <c r="AK55" s="646"/>
      <c r="AL55" s="646"/>
      <c r="AM55" s="646" t="s">
        <v>192</v>
      </c>
      <c r="AN55" s="646" t="s">
        <v>192</v>
      </c>
      <c r="AO55" s="646" t="s">
        <v>192</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3"/>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478</v>
      </c>
      <c r="M56" s="645"/>
      <c r="N56" s="646"/>
      <c r="O56" s="646"/>
      <c r="P56" s="646" t="s">
        <v>192</v>
      </c>
      <c r="Q56" s="646" t="s">
        <v>192</v>
      </c>
      <c r="R56" s="646" t="s">
        <v>192</v>
      </c>
      <c r="S56" s="646"/>
      <c r="T56" s="646" t="s">
        <v>192</v>
      </c>
      <c r="U56" s="646"/>
      <c r="V56" s="646"/>
      <c r="W56" s="646" t="s">
        <v>192</v>
      </c>
      <c r="X56" s="646" t="s">
        <v>192</v>
      </c>
      <c r="Y56" s="646" t="s">
        <v>192</v>
      </c>
      <c r="Z56" s="646" t="s">
        <v>192</v>
      </c>
      <c r="AA56" s="646" t="s">
        <v>192</v>
      </c>
      <c r="AB56" s="646"/>
      <c r="AC56" s="646"/>
      <c r="AD56" s="646" t="s">
        <v>192</v>
      </c>
      <c r="AE56" s="646" t="s">
        <v>192</v>
      </c>
      <c r="AF56" s="646" t="s">
        <v>420</v>
      </c>
      <c r="AG56" s="646" t="s">
        <v>192</v>
      </c>
      <c r="AH56" s="646" t="s">
        <v>192</v>
      </c>
      <c r="AI56" s="646"/>
      <c r="AJ56" s="646"/>
      <c r="AK56" s="646"/>
      <c r="AL56" s="646"/>
      <c r="AM56" s="646" t="s">
        <v>192</v>
      </c>
      <c r="AN56" s="646" t="s">
        <v>192</v>
      </c>
      <c r="AO56" s="646" t="s">
        <v>192</v>
      </c>
      <c r="AP56" s="646" t="s">
        <v>192</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3"/>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484</v>
      </c>
      <c r="L57" s="639" t="s">
        <v>478</v>
      </c>
      <c r="M57" s="645"/>
      <c r="N57" s="646" t="s">
        <v>192</v>
      </c>
      <c r="O57" s="646"/>
      <c r="P57" s="646" t="s">
        <v>192</v>
      </c>
      <c r="Q57" s="646" t="s">
        <v>192</v>
      </c>
      <c r="R57" s="646" t="s">
        <v>192</v>
      </c>
      <c r="S57" s="646" t="s">
        <v>192</v>
      </c>
      <c r="T57" s="646"/>
      <c r="U57" s="646" t="s">
        <v>192</v>
      </c>
      <c r="V57" s="646"/>
      <c r="W57" s="646" t="s">
        <v>192</v>
      </c>
      <c r="X57" s="646" t="s">
        <v>192</v>
      </c>
      <c r="Y57" s="646" t="s">
        <v>192</v>
      </c>
      <c r="Z57" s="646" t="s">
        <v>192</v>
      </c>
      <c r="AA57" s="646"/>
      <c r="AB57" s="646" t="s">
        <v>192</v>
      </c>
      <c r="AC57" s="646"/>
      <c r="AD57" s="646" t="s">
        <v>192</v>
      </c>
      <c r="AE57" s="646" t="s">
        <v>192</v>
      </c>
      <c r="AF57" s="646" t="s">
        <v>192</v>
      </c>
      <c r="AG57" s="646"/>
      <c r="AH57" s="646" t="s">
        <v>192</v>
      </c>
      <c r="AI57" s="646" t="s">
        <v>192</v>
      </c>
      <c r="AJ57" s="646"/>
      <c r="AK57" s="646"/>
      <c r="AL57" s="646" t="s">
        <v>192</v>
      </c>
      <c r="AM57" s="646" t="s">
        <v>192</v>
      </c>
      <c r="AN57" s="646" t="s">
        <v>192</v>
      </c>
      <c r="AO57" s="646" t="s">
        <v>192</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3"/>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471</v>
      </c>
      <c r="M58" s="645"/>
      <c r="N58" s="646" t="s">
        <v>192</v>
      </c>
      <c r="O58" s="641"/>
      <c r="P58" s="646"/>
      <c r="Q58" s="646"/>
      <c r="R58" s="646"/>
      <c r="S58" s="646"/>
      <c r="T58" s="646" t="s">
        <v>192</v>
      </c>
      <c r="U58" s="646" t="s">
        <v>192</v>
      </c>
      <c r="V58" s="641"/>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c r="AP58" s="646" t="s">
        <v>192</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3"/>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478</v>
      </c>
      <c r="M59" s="645"/>
      <c r="N59" s="646" t="s">
        <v>192</v>
      </c>
      <c r="O59" s="646"/>
      <c r="P59" s="646"/>
      <c r="Q59" s="646"/>
      <c r="R59" s="641"/>
      <c r="S59" s="646" t="s">
        <v>192</v>
      </c>
      <c r="T59" s="646" t="s">
        <v>192</v>
      </c>
      <c r="U59" s="646" t="s">
        <v>192</v>
      </c>
      <c r="V59" s="646" t="s">
        <v>192</v>
      </c>
      <c r="W59" s="646" t="s">
        <v>192</v>
      </c>
      <c r="X59" s="646"/>
      <c r="Y59" s="641"/>
      <c r="Z59" s="646" t="s">
        <v>192</v>
      </c>
      <c r="AA59" s="646" t="s">
        <v>192</v>
      </c>
      <c r="AB59" s="646" t="s">
        <v>192</v>
      </c>
      <c r="AC59" s="646" t="s">
        <v>192</v>
      </c>
      <c r="AD59" s="646"/>
      <c r="AE59" s="646"/>
      <c r="AF59" s="641"/>
      <c r="AG59" s="646" t="s">
        <v>192</v>
      </c>
      <c r="AH59" s="646" t="s">
        <v>192</v>
      </c>
      <c r="AI59" s="646" t="s">
        <v>192</v>
      </c>
      <c r="AJ59" s="646" t="s">
        <v>192</v>
      </c>
      <c r="AK59" s="646"/>
      <c r="AL59" s="646" t="s">
        <v>192</v>
      </c>
      <c r="AM59" s="646"/>
      <c r="AN59" s="641"/>
      <c r="AO59" s="646" t="s">
        <v>192</v>
      </c>
      <c r="AP59" s="646" t="s">
        <v>192</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3"/>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529</v>
      </c>
      <c r="L60" s="639" t="s">
        <v>478</v>
      </c>
      <c r="M60" s="645"/>
      <c r="N60" s="646"/>
      <c r="O60" s="646"/>
      <c r="P60" s="646" t="s">
        <v>192</v>
      </c>
      <c r="Q60" s="646"/>
      <c r="R60" s="646"/>
      <c r="S60" s="646" t="s">
        <v>192</v>
      </c>
      <c r="T60" s="646"/>
      <c r="U60" s="646"/>
      <c r="V60" s="646" t="s">
        <v>192</v>
      </c>
      <c r="W60" s="646" t="s">
        <v>192</v>
      </c>
      <c r="X60" s="646"/>
      <c r="Y60" s="646" t="s">
        <v>192</v>
      </c>
      <c r="Z60" s="646" t="s">
        <v>192</v>
      </c>
      <c r="AA60" s="646" t="s">
        <v>192</v>
      </c>
      <c r="AB60" s="646"/>
      <c r="AC60" s="646"/>
      <c r="AD60" s="646"/>
      <c r="AE60" s="646"/>
      <c r="AF60" s="646" t="s">
        <v>192</v>
      </c>
      <c r="AG60" s="646" t="s">
        <v>192</v>
      </c>
      <c r="AH60" s="646" t="s">
        <v>192</v>
      </c>
      <c r="AI60" s="646"/>
      <c r="AJ60" s="646"/>
      <c r="AK60" s="646"/>
      <c r="AL60" s="646"/>
      <c r="AM60" s="646"/>
      <c r="AN60" s="646" t="s">
        <v>192</v>
      </c>
      <c r="AO60" s="646" t="s">
        <v>192</v>
      </c>
      <c r="AP60" s="646" t="s">
        <v>192</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3"/>
      <c r="BN60" s="200"/>
      <c r="BO60" s="200"/>
      <c r="BP60" s="200"/>
      <c r="BQ60" s="200"/>
      <c r="BR60" s="200"/>
      <c r="BS60" s="200"/>
      <c r="BT60" s="200"/>
      <c r="BU60" s="200"/>
      <c r="BV60" s="200"/>
      <c r="BW60" s="200"/>
      <c r="BX60" s="200"/>
      <c r="BY60" s="200"/>
    </row>
    <row r="61">
      <c r="A61" s="200"/>
      <c r="B61" s="636" t="s">
        <v>762</v>
      </c>
      <c r="C61" s="637"/>
      <c r="D61" s="200"/>
      <c r="E61" s="636" t="s">
        <v>762</v>
      </c>
      <c r="F61" s="637"/>
      <c r="G61" s="200"/>
      <c r="H61" s="200"/>
      <c r="I61" s="172" t="b">
        <v>0</v>
      </c>
      <c r="J61" s="618">
        <v>4.0</v>
      </c>
      <c r="K61" s="638" t="s">
        <v>762</v>
      </c>
      <c r="L61" s="639" t="s">
        <v>478</v>
      </c>
      <c r="M61" s="645"/>
      <c r="N61" s="646"/>
      <c r="O61" s="646" t="s">
        <v>192</v>
      </c>
      <c r="P61" s="646"/>
      <c r="Q61" s="646"/>
      <c r="R61" s="646"/>
      <c r="S61" s="646"/>
      <c r="T61" s="646" t="s">
        <v>192</v>
      </c>
      <c r="U61" s="646" t="s">
        <v>192</v>
      </c>
      <c r="V61" s="646" t="s">
        <v>192</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3"/>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520</v>
      </c>
      <c r="L62" s="639"/>
      <c r="M62" s="645"/>
      <c r="N62" s="646" t="s">
        <v>763</v>
      </c>
      <c r="O62" s="646"/>
      <c r="P62" s="646"/>
      <c r="Q62" s="646"/>
      <c r="R62" s="646"/>
      <c r="S62" s="646"/>
      <c r="T62" s="646" t="s">
        <v>763</v>
      </c>
      <c r="U62" s="646" t="s">
        <v>763</v>
      </c>
      <c r="V62" s="646"/>
      <c r="W62" s="646"/>
      <c r="X62" s="646" t="s">
        <v>624</v>
      </c>
      <c r="Y62" s="646"/>
      <c r="Z62" s="646"/>
      <c r="AA62" s="646" t="s">
        <v>763</v>
      </c>
      <c r="AB62" s="646" t="s">
        <v>763</v>
      </c>
      <c r="AC62" s="646"/>
      <c r="AD62" s="646"/>
      <c r="AE62" s="646"/>
      <c r="AF62" s="646"/>
      <c r="AG62" s="646"/>
      <c r="AH62" s="646" t="s">
        <v>763</v>
      </c>
      <c r="AI62" s="646" t="s">
        <v>763</v>
      </c>
      <c r="AJ62" s="646" t="s">
        <v>763</v>
      </c>
      <c r="AK62" s="646"/>
      <c r="AL62" s="646"/>
      <c r="AM62" s="646"/>
      <c r="AN62" s="646"/>
      <c r="AO62" s="646"/>
      <c r="AP62" s="646" t="s">
        <v>763</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3"/>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490</v>
      </c>
      <c r="L63" s="639"/>
      <c r="M63" s="645"/>
      <c r="N63" s="646" t="s">
        <v>764</v>
      </c>
      <c r="O63" s="646" t="s">
        <v>764</v>
      </c>
      <c r="P63" s="646"/>
      <c r="Q63" s="646"/>
      <c r="R63" s="646" t="s">
        <v>764</v>
      </c>
      <c r="S63" s="646" t="s">
        <v>764</v>
      </c>
      <c r="T63" s="646"/>
      <c r="U63" s="646" t="s">
        <v>764</v>
      </c>
      <c r="V63" s="646" t="s">
        <v>764</v>
      </c>
      <c r="W63" s="646"/>
      <c r="X63" s="646"/>
      <c r="Y63" s="646" t="s">
        <v>764</v>
      </c>
      <c r="Z63" s="646" t="s">
        <v>764</v>
      </c>
      <c r="AA63" s="646"/>
      <c r="AB63" s="646" t="s">
        <v>764</v>
      </c>
      <c r="AC63" s="646" t="s">
        <v>764</v>
      </c>
      <c r="AD63" s="646"/>
      <c r="AE63" s="646"/>
      <c r="AF63" s="646" t="s">
        <v>764</v>
      </c>
      <c r="AG63" s="646" t="s">
        <v>764</v>
      </c>
      <c r="AH63" s="646"/>
      <c r="AI63" s="646" t="s">
        <v>764</v>
      </c>
      <c r="AJ63" s="646" t="s">
        <v>764</v>
      </c>
      <c r="AK63" s="646"/>
      <c r="AL63" s="646"/>
      <c r="AM63" s="646"/>
      <c r="AN63" s="646" t="s">
        <v>764</v>
      </c>
      <c r="AO63" s="646" t="s">
        <v>764</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3"/>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492</v>
      </c>
      <c r="L64" s="639"/>
      <c r="M64" s="645"/>
      <c r="N64" s="646"/>
      <c r="O64" s="646"/>
      <c r="P64" s="646" t="s">
        <v>764</v>
      </c>
      <c r="Q64" s="646" t="s">
        <v>764</v>
      </c>
      <c r="R64" s="646"/>
      <c r="S64" s="646"/>
      <c r="T64" s="646"/>
      <c r="U64" s="646"/>
      <c r="V64" s="646"/>
      <c r="W64" s="646" t="s">
        <v>764</v>
      </c>
      <c r="X64" s="646" t="s">
        <v>764</v>
      </c>
      <c r="Y64" s="646"/>
      <c r="Z64" s="646"/>
      <c r="AA64" s="646"/>
      <c r="AB64" s="646"/>
      <c r="AC64" s="646"/>
      <c r="AD64" s="646" t="s">
        <v>764</v>
      </c>
      <c r="AE64" s="646" t="s">
        <v>764</v>
      </c>
      <c r="AF64" s="646"/>
      <c r="AG64" s="646"/>
      <c r="AH64" s="646"/>
      <c r="AI64" s="646"/>
      <c r="AJ64" s="646"/>
      <c r="AK64" s="646"/>
      <c r="AL64" s="646" t="s">
        <v>764</v>
      </c>
      <c r="AM64" s="646" t="s">
        <v>764</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3"/>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3"/>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3"/>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3"/>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3"/>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3"/>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3"/>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3"/>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3"/>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3"/>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3"/>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3"/>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3"/>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3"/>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3"/>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3"/>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3"/>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3"/>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3"/>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3"/>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3"/>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3"/>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3"/>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3"/>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3"/>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3"/>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3"/>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3"/>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3"/>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3"/>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3"/>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3"/>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3"/>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3"/>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3"/>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3"/>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3"/>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3"/>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3"/>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3"/>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3"/>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3"/>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3"/>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3"/>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3"/>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3"/>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3"/>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3"/>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3"/>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3"/>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3"/>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3"/>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3"/>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3"/>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3"/>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3"/>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3"/>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3"/>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3"/>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3"/>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3"/>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3"/>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3"/>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3"/>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3"/>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3"/>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3"/>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3"/>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3"/>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3"/>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3"/>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3"/>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3"/>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3"/>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3"/>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3"/>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3"/>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3"/>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3"/>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3"/>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3"/>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3"/>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3"/>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3"/>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3"/>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3"/>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3"/>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3"/>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3"/>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3"/>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3"/>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3"/>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3"/>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3"/>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3"/>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3"/>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3"/>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3"/>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3"/>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3"/>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3"/>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3"/>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3"/>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3"/>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3"/>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3"/>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3"/>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3"/>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765</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2</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551</v>
      </c>
      <c r="G9" s="723"/>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520</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460</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463</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472</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470</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454</v>
      </c>
      <c r="W18" s="716"/>
      <c r="X18" s="717">
        <v>46357.0</v>
      </c>
      <c r="Y18" s="661"/>
      <c r="Z18" s="661"/>
    </row>
    <row r="19" hidden="1" outlineLevel="1">
      <c r="B19" s="738"/>
      <c r="C19" s="697"/>
      <c r="D19" s="697"/>
      <c r="E19" s="697"/>
      <c r="F19" s="739" t="s">
        <v>521</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456</v>
      </c>
      <c r="W19" s="716"/>
      <c r="X19" s="717">
        <v>46388.0</v>
      </c>
      <c r="Y19" s="661"/>
      <c r="Z19" s="661"/>
    </row>
    <row r="20" ht="19.5" hidden="1" customHeight="1" outlineLevel="1">
      <c r="A20" s="661"/>
      <c r="B20" s="743"/>
      <c r="C20" s="744">
        <f>IF(C9="","",IF(DAY(C9+1)=1,"",C9+1))</f>
        <v>46055</v>
      </c>
      <c r="D20" s="745" t="str">
        <f>TEXT(C20,"ddd")</f>
        <v>月</v>
      </c>
      <c r="E20" s="746"/>
      <c r="F20" s="747" t="s">
        <v>142</v>
      </c>
      <c r="G20" s="748" t="s">
        <v>766</v>
      </c>
      <c r="H20" s="749"/>
      <c r="I20" s="749" t="s">
        <v>767</v>
      </c>
      <c r="J20" s="749" t="s">
        <v>768</v>
      </c>
      <c r="K20" s="749" t="s">
        <v>540</v>
      </c>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492</v>
      </c>
      <c r="W20" s="716"/>
      <c r="X20" s="717"/>
      <c r="Y20" s="661"/>
      <c r="Z20" s="661"/>
    </row>
    <row r="21" ht="19.5" hidden="1"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525</v>
      </c>
      <c r="W21" s="716"/>
      <c r="X21" s="717"/>
      <c r="Y21" s="661"/>
      <c r="Z21" s="661"/>
    </row>
    <row r="22" ht="19.5" hidden="1"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120</v>
      </c>
      <c r="W22" s="716"/>
      <c r="X22" s="717"/>
      <c r="Y22" s="661"/>
      <c r="Z22" s="661"/>
    </row>
    <row r="23" ht="19.5" hidden="1"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t="19.5" hidden="1"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769</v>
      </c>
      <c r="W24" s="661"/>
      <c r="X24" s="756"/>
      <c r="Y24" s="661"/>
      <c r="Z24" s="661"/>
    </row>
    <row r="25" ht="19.5" hidden="1"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477</v>
      </c>
      <c r="W25" s="661"/>
      <c r="X25" s="756"/>
      <c r="Y25" s="661"/>
      <c r="Z25" s="661"/>
    </row>
    <row r="26" ht="19.5" hidden="1"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475</v>
      </c>
      <c r="W26" s="661"/>
      <c r="X26" s="756"/>
      <c r="Y26" s="661"/>
      <c r="Z26" s="661"/>
    </row>
    <row r="27" ht="19.5" hidden="1"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474</v>
      </c>
      <c r="W27" s="661"/>
      <c r="X27" s="756"/>
      <c r="Y27" s="661"/>
      <c r="Z27" s="661"/>
    </row>
    <row r="28" ht="19.5" hidden="1"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6"/>
      <c r="Y28" s="661"/>
      <c r="Z28" s="661"/>
    </row>
    <row r="29" ht="19.5" hidden="1"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480</v>
      </c>
      <c r="W29" s="661"/>
      <c r="X29" s="756"/>
      <c r="Y29" s="661"/>
      <c r="Z29" s="661"/>
    </row>
    <row r="30" ht="18.0" hidden="1" customHeight="1" outlineLevel="1">
      <c r="A30" s="661"/>
      <c r="B30" s="738"/>
      <c r="C30" s="697"/>
      <c r="D30" s="697"/>
      <c r="E30" s="697"/>
      <c r="F30" s="757" t="s">
        <v>521</v>
      </c>
      <c r="G30" s="758" t="s">
        <v>770</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487</v>
      </c>
      <c r="W30" s="661"/>
      <c r="X30" s="756"/>
      <c r="Y30" s="661"/>
      <c r="Z30" s="661"/>
    </row>
    <row r="31" hidden="1" outlineLevel="1">
      <c r="A31" s="661"/>
      <c r="B31" s="760"/>
      <c r="C31" s="761">
        <f>IF(C20="","",IF(DAY(C20+1)=1,"",C20+1))</f>
        <v>46056</v>
      </c>
      <c r="D31" s="762" t="str">
        <f>TEXT(C31,"ddd")</f>
        <v>火</v>
      </c>
      <c r="E31" s="763"/>
      <c r="F31" s="764" t="s">
        <v>142</v>
      </c>
      <c r="G31" s="765" t="s">
        <v>771</v>
      </c>
      <c r="H31" s="766"/>
      <c r="I31" s="766" t="s">
        <v>767</v>
      </c>
      <c r="J31" s="762"/>
      <c r="K31" s="762"/>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165</v>
      </c>
      <c r="W31" s="661"/>
      <c r="X31" s="756"/>
      <c r="Y31" s="661"/>
      <c r="Z31" s="661"/>
    </row>
    <row r="32" hidden="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6"/>
      <c r="Y32" s="661"/>
      <c r="Z32" s="661"/>
    </row>
    <row r="33" hidden="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484</v>
      </c>
      <c r="W33" s="661"/>
      <c r="X33" s="756"/>
      <c r="Y33" s="661"/>
      <c r="Z33" s="661"/>
    </row>
    <row r="34" hidden="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6"/>
      <c r="Y34" s="661"/>
      <c r="Z34" s="661"/>
    </row>
    <row r="35" hidden="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73" t="s">
        <v>529</v>
      </c>
      <c r="W35" s="661"/>
      <c r="X35" s="756"/>
      <c r="Y35" s="661"/>
      <c r="Z35" s="661"/>
    </row>
    <row r="36" hidden="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73" t="s">
        <v>458</v>
      </c>
      <c r="W36" s="661"/>
      <c r="X36" s="756"/>
      <c r="Y36" s="661"/>
      <c r="Z36" s="661"/>
    </row>
    <row r="37" hidden="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772</v>
      </c>
      <c r="W37" s="661"/>
      <c r="X37" s="756"/>
      <c r="Y37" s="661"/>
      <c r="Z37" s="661"/>
    </row>
    <row r="38" hidden="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132</v>
      </c>
      <c r="W38" s="661"/>
      <c r="X38" s="756"/>
      <c r="Y38" s="661"/>
      <c r="Z38" s="661"/>
    </row>
    <row r="39" hidden="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773</v>
      </c>
      <c r="W39" s="661"/>
      <c r="X39" s="756"/>
      <c r="Y39" s="661"/>
      <c r="Z39" s="661"/>
    </row>
    <row r="40" hidden="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774</v>
      </c>
      <c r="W40" s="661"/>
      <c r="X40" s="756"/>
      <c r="Y40" s="661"/>
      <c r="Z40" s="661"/>
    </row>
    <row r="41" ht="18.0" hidden="1" customHeight="1" outlineLevel="1">
      <c r="A41" s="661"/>
      <c r="B41" s="738"/>
      <c r="C41" s="697"/>
      <c r="D41" s="697"/>
      <c r="E41" s="697"/>
      <c r="F41" s="739" t="s">
        <v>521</v>
      </c>
      <c r="G41" s="740" t="s">
        <v>775</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776</v>
      </c>
      <c r="W41" s="661"/>
      <c r="X41" s="756"/>
      <c r="Y41" s="661"/>
      <c r="Z41" s="661"/>
    </row>
    <row r="42" hidden="1" outlineLevel="1">
      <c r="A42" s="661"/>
      <c r="B42" s="743"/>
      <c r="C42" s="744">
        <f>IF(C31="","",IF(DAY(C31+1)=1,"",C31+1))</f>
        <v>46057</v>
      </c>
      <c r="D42" s="745" t="str">
        <f>TEXT(C42,"ddd")</f>
        <v>水</v>
      </c>
      <c r="E42" s="746"/>
      <c r="F42" s="774" t="s">
        <v>142</v>
      </c>
      <c r="G42" s="775" t="s">
        <v>777</v>
      </c>
      <c r="H42" s="776"/>
      <c r="I42" s="776" t="s">
        <v>767</v>
      </c>
      <c r="J42" s="776" t="s">
        <v>539</v>
      </c>
      <c r="K42" s="776" t="s">
        <v>540</v>
      </c>
      <c r="L42" s="754"/>
      <c r="M42" s="754"/>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15" t="s">
        <v>637</v>
      </c>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t="s">
        <v>778</v>
      </c>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779</v>
      </c>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hidden="1" customHeight="1" outlineLevel="1">
      <c r="A52" s="661"/>
      <c r="B52" s="738"/>
      <c r="C52" s="697"/>
      <c r="D52" s="697"/>
      <c r="E52" s="697"/>
      <c r="F52" s="757" t="s">
        <v>521</v>
      </c>
      <c r="G52" s="758" t="s">
        <v>780</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idden="1" outlineLevel="1">
      <c r="A53" s="661"/>
      <c r="B53" s="760"/>
      <c r="C53" s="761">
        <f>IF(C42="","",IF(DAY(C42+1)=1,"",C42+1))</f>
        <v>46058</v>
      </c>
      <c r="D53" s="762" t="str">
        <f>TEXT(C53,"ddd")</f>
        <v>木</v>
      </c>
      <c r="E53" s="763"/>
      <c r="F53" s="764" t="s">
        <v>100</v>
      </c>
      <c r="G53" s="765" t="s">
        <v>781</v>
      </c>
      <c r="H53" s="766"/>
      <c r="I53" s="766">
        <v>2.0</v>
      </c>
      <c r="J53" s="766">
        <v>10.0</v>
      </c>
      <c r="K53" s="766">
        <v>3.0</v>
      </c>
      <c r="L53" s="768"/>
      <c r="M53" s="768"/>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idden="1" outlineLevel="1">
      <c r="A54" s="661"/>
      <c r="B54" s="729"/>
      <c r="C54" s="730"/>
      <c r="D54" s="730"/>
      <c r="E54" s="730"/>
      <c r="F54" s="730"/>
      <c r="G54" s="944"/>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idden="1" outlineLevel="1">
      <c r="A55" s="661"/>
      <c r="B55" s="729"/>
      <c r="C55" s="730"/>
      <c r="D55" s="730"/>
      <c r="E55" s="730"/>
      <c r="F55" s="730"/>
      <c r="G55" s="944" t="s">
        <v>782</v>
      </c>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idden="1" outlineLevel="1">
      <c r="A56" s="661"/>
      <c r="B56" s="729"/>
      <c r="C56" s="730"/>
      <c r="D56" s="730"/>
      <c r="E56" s="730"/>
      <c r="F56" s="730"/>
      <c r="G56" s="944"/>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idden="1" outlineLevel="1">
      <c r="A57" s="661"/>
      <c r="B57" s="729"/>
      <c r="C57" s="730"/>
      <c r="D57" s="730"/>
      <c r="E57" s="730"/>
      <c r="F57" s="730"/>
      <c r="G57" s="944" t="s">
        <v>783</v>
      </c>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idden="1" outlineLevel="1">
      <c r="A58" s="661"/>
      <c r="B58" s="729"/>
      <c r="C58" s="730"/>
      <c r="D58" s="730"/>
      <c r="E58" s="730"/>
      <c r="F58" s="730"/>
      <c r="G58" s="944"/>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idden="1" outlineLevel="1">
      <c r="A59" s="661"/>
      <c r="B59" s="729"/>
      <c r="C59" s="730"/>
      <c r="D59" s="730"/>
      <c r="E59" s="730"/>
      <c r="F59" s="730"/>
      <c r="G59" s="944" t="s">
        <v>784</v>
      </c>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idden="1" outlineLevel="1">
      <c r="A60" s="661"/>
      <c r="B60" s="729"/>
      <c r="C60" s="730"/>
      <c r="D60" s="730"/>
      <c r="E60" s="730"/>
      <c r="F60" s="730"/>
      <c r="G60" s="944"/>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idden="1" outlineLevel="1">
      <c r="A61" s="661"/>
      <c r="B61" s="729"/>
      <c r="C61" s="730"/>
      <c r="D61" s="730"/>
      <c r="E61" s="730"/>
      <c r="F61" s="730"/>
      <c r="G61" s="944" t="s">
        <v>785</v>
      </c>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72.0" hidden="1" customHeight="1" outlineLevel="1">
      <c r="A62" s="661"/>
      <c r="B62" s="729"/>
      <c r="C62" s="730"/>
      <c r="D62" s="730"/>
      <c r="E62" s="730"/>
      <c r="F62" s="697"/>
      <c r="G62" s="945" t="s">
        <v>786</v>
      </c>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hidden="1" customHeight="1" outlineLevel="1">
      <c r="A63" s="661"/>
      <c r="B63" s="738"/>
      <c r="C63" s="697"/>
      <c r="D63" s="697"/>
      <c r="E63" s="697"/>
      <c r="F63" s="739" t="s">
        <v>521</v>
      </c>
      <c r="G63" s="740" t="s">
        <v>787</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537</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idden="1" outlineLevel="1">
      <c r="A65" s="661"/>
      <c r="B65" s="743"/>
      <c r="C65" s="744">
        <f>IF(C53="","",IF(DAY(C53+1)=1,"",C53+1))</f>
        <v>46059</v>
      </c>
      <c r="D65" s="745" t="str">
        <f>TEXT(C65,"ddd")</f>
        <v>金</v>
      </c>
      <c r="E65" s="746"/>
      <c r="F65" s="774" t="s">
        <v>142</v>
      </c>
      <c r="G65" s="775" t="s">
        <v>788</v>
      </c>
      <c r="H65" s="776"/>
      <c r="I65" s="776" t="s">
        <v>543</v>
      </c>
      <c r="J65" s="776">
        <v>8.0</v>
      </c>
      <c r="K65" s="776" t="s">
        <v>632</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idden="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idden="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idden="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idden="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idden="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idden="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idden="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idden="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idden="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hidden="1" customHeight="1" outlineLevel="1">
      <c r="A75" s="661"/>
      <c r="B75" s="738"/>
      <c r="C75" s="697"/>
      <c r="D75" s="697"/>
      <c r="E75" s="697"/>
      <c r="F75" s="757" t="s">
        <v>521</v>
      </c>
      <c r="G75" s="758" t="s">
        <v>789</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t="33.0" hidden="1" customHeight="1" outlineLevel="1">
      <c r="A76" s="661"/>
      <c r="B76" s="760"/>
      <c r="C76" s="761">
        <f>IF(C65="","",IF(DAY(C65+1)=1,"",C65+1))</f>
        <v>46060</v>
      </c>
      <c r="D76" s="762" t="str">
        <f>TEXT(C76,"ddd")</f>
        <v>土</v>
      </c>
      <c r="E76" s="763"/>
      <c r="F76" s="764" t="s">
        <v>100</v>
      </c>
      <c r="G76" s="765" t="s">
        <v>790</v>
      </c>
      <c r="H76" s="766">
        <v>1.0</v>
      </c>
      <c r="I76" s="766" t="s">
        <v>791</v>
      </c>
      <c r="J76" s="766">
        <v>8.0</v>
      </c>
      <c r="K76" s="766">
        <v>2.0</v>
      </c>
      <c r="L76" s="768" t="s">
        <v>159</v>
      </c>
      <c r="M76" s="768" t="s">
        <v>792</v>
      </c>
      <c r="N76" s="764"/>
      <c r="O76" s="769"/>
      <c r="P76" s="770"/>
      <c r="Q76" s="771"/>
      <c r="R76" s="661"/>
      <c r="S76" s="228" t="str">
        <f t="array" ref="S76">IFERROR(INDEX('💻シート作成'!$D$6:$D1001, MATCH(T76, '💻シート作成'!$E$6:$E1001, 0)), "")</f>
        <v/>
      </c>
      <c r="T76" s="172"/>
      <c r="U76" s="664"/>
      <c r="V76" s="773"/>
      <c r="W76" s="661"/>
      <c r="X76" s="756"/>
      <c r="Y76" s="661"/>
      <c r="Z76" s="661"/>
    </row>
    <row r="77" ht="33.0" hidden="1" customHeight="1" outlineLevel="1">
      <c r="A77" s="661"/>
      <c r="B77" s="729"/>
      <c r="C77" s="730"/>
      <c r="D77" s="730"/>
      <c r="E77" s="730"/>
      <c r="F77" s="730"/>
      <c r="G77" s="731"/>
      <c r="H77" s="730"/>
      <c r="I77" s="730"/>
      <c r="J77" s="730"/>
      <c r="K77" s="730"/>
      <c r="L77" s="768" t="s">
        <v>762</v>
      </c>
      <c r="M77" s="768" t="s">
        <v>793</v>
      </c>
      <c r="N77" s="730"/>
      <c r="O77" s="733"/>
      <c r="Q77" s="728"/>
      <c r="R77" s="661"/>
      <c r="S77" s="228" t="str">
        <f t="array" ref="S77">IFERROR(INDEX('💻シート作成'!$D$6:$D1001, MATCH(T77, '💻シート作成'!$E$6:$E1001, 0)), "")</f>
        <v/>
      </c>
      <c r="T77" s="172"/>
      <c r="U77" s="664"/>
      <c r="V77" s="773"/>
      <c r="W77" s="661"/>
      <c r="X77" s="756"/>
      <c r="Y77" s="661"/>
      <c r="Z77" s="661"/>
    </row>
    <row r="78" ht="33.0" hidden="1" customHeight="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t="33.0" hidden="1" customHeight="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t="33.0" hidden="1" customHeight="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t="33.0" hidden="1" customHeight="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t="33.0" hidden="1" customHeight="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t="33.0" hidden="1" customHeight="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t="33.0" hidden="1" customHeight="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t="33.0" hidden="1" customHeight="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t="18.0" hidden="1" customHeight="1" outlineLevel="1">
      <c r="A86" s="661"/>
      <c r="B86" s="738"/>
      <c r="C86" s="697"/>
      <c r="D86" s="697"/>
      <c r="E86" s="697"/>
      <c r="F86" s="739" t="s">
        <v>521</v>
      </c>
      <c r="G86" s="740" t="s">
        <v>794</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34.5" hidden="1" customHeight="1" outlineLevel="1">
      <c r="A87" s="661"/>
      <c r="B87" s="743"/>
      <c r="C87" s="744">
        <f>IF(C76="","",IF(DAY(C76+1)=1,"",C76+1))</f>
        <v>46061</v>
      </c>
      <c r="D87" s="745" t="str">
        <f>TEXT(C87,"ddd")</f>
        <v>日</v>
      </c>
      <c r="E87" s="746"/>
      <c r="F87" s="774" t="s">
        <v>100</v>
      </c>
      <c r="G87" s="775" t="s">
        <v>795</v>
      </c>
      <c r="H87" s="776">
        <v>1.0</v>
      </c>
      <c r="I87" s="777">
        <v>0.6875</v>
      </c>
      <c r="J87" s="776">
        <v>9.0</v>
      </c>
      <c r="K87" s="776">
        <v>2.0</v>
      </c>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t="34.5" hidden="1"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34.5" hidden="1"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34.5" hidden="1"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34.5" hidden="1"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34.5" hidden="1"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34.5" hidden="1"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34.5" hidden="1"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34.5" hidden="1"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34.5" hidden="1"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18.0" hidden="1" customHeight="1" outlineLevel="1">
      <c r="A97" s="661"/>
      <c r="B97" s="738"/>
      <c r="C97" s="697"/>
      <c r="D97" s="697"/>
      <c r="E97" s="697"/>
      <c r="F97" s="757" t="s">
        <v>521</v>
      </c>
      <c r="G97" s="758" t="s">
        <v>796</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t="21.0" hidden="1" customHeight="1" outlineLevel="1">
      <c r="A98" s="661"/>
      <c r="B98" s="760"/>
      <c r="C98" s="761">
        <f>IF(C87="","",IF(DAY(C87+1)=1,"",C87+1))</f>
        <v>46062</v>
      </c>
      <c r="D98" s="762" t="str">
        <f>TEXT(C98,"ddd")</f>
        <v>月</v>
      </c>
      <c r="E98" s="763"/>
      <c r="F98" s="764" t="s">
        <v>142</v>
      </c>
      <c r="G98" s="765" t="s">
        <v>797</v>
      </c>
      <c r="H98" s="766">
        <v>2.0</v>
      </c>
      <c r="I98" s="766" t="s">
        <v>767</v>
      </c>
      <c r="J98" s="766">
        <v>8.0</v>
      </c>
      <c r="K98" s="766">
        <v>4.0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t="21.0" hidden="1" customHeight="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t="21.0" hidden="1" customHeight="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t="21.0" hidden="1" customHeight="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t="21.0" hidden="1" customHeight="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t="21.0" hidden="1" customHeight="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t="21.0" hidden="1" customHeight="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t="21.0" hidden="1" customHeight="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t="21.0" hidden="1" customHeight="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t="21.0" hidden="1" customHeight="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hidden="1" customHeight="1" outlineLevel="1">
      <c r="A108" s="661"/>
      <c r="B108" s="738"/>
      <c r="C108" s="697"/>
      <c r="D108" s="697"/>
      <c r="E108" s="697"/>
      <c r="F108" s="739" t="s">
        <v>521</v>
      </c>
      <c r="G108" s="740" t="s">
        <v>798</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t="33.0" hidden="1" customHeight="1" outlineLevel="1">
      <c r="A109" s="661"/>
      <c r="B109" s="743"/>
      <c r="C109" s="744">
        <f>IF(C98="","",IF(DAY(C98+1)=1,"",C98+1))</f>
        <v>46063</v>
      </c>
      <c r="D109" s="745" t="str">
        <f>TEXT(C109,"ddd")</f>
        <v>火</v>
      </c>
      <c r="E109" s="746"/>
      <c r="F109" s="774" t="s">
        <v>119</v>
      </c>
      <c r="G109" s="775" t="s">
        <v>799</v>
      </c>
      <c r="H109" s="776"/>
      <c r="I109" s="777">
        <v>0.7083333333333334</v>
      </c>
      <c r="J109" s="776">
        <v>9.0</v>
      </c>
      <c r="K109" s="776">
        <v>3.0</v>
      </c>
      <c r="L109" s="754" t="s">
        <v>159</v>
      </c>
      <c r="M109" s="754" t="s">
        <v>800</v>
      </c>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t="33.0" hidden="1" customHeight="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t="33.0" hidden="1" customHeight="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t="33.0" hidden="1" customHeight="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t="33.0" hidden="1" customHeight="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t="33.0" hidden="1" customHeight="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t="33.0" hidden="1" customHeight="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t="33.0" hidden="1" customHeight="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t="33.0" hidden="1" customHeight="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t="33.0" hidden="1" customHeight="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hidden="1" customHeight="1" outlineLevel="1">
      <c r="A119" s="661"/>
      <c r="B119" s="738"/>
      <c r="C119" s="697"/>
      <c r="D119" s="697"/>
      <c r="E119" s="697"/>
      <c r="F119" s="757" t="s">
        <v>521</v>
      </c>
      <c r="G119" s="758" t="s">
        <v>801</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550</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27.75" hidden="1" customHeight="1" outlineLevel="1">
      <c r="A121" s="661"/>
      <c r="B121" s="760"/>
      <c r="C121" s="761">
        <f>IF(C109="","",IF(DAY(C109+1)=1,"",C109+1))</f>
        <v>46064</v>
      </c>
      <c r="D121" s="762" t="str">
        <f>TEXT(C121,"ddd")</f>
        <v>水</v>
      </c>
      <c r="E121" s="763"/>
      <c r="F121" s="764" t="s">
        <v>142</v>
      </c>
      <c r="G121" s="765" t="s">
        <v>802</v>
      </c>
      <c r="H121" s="766"/>
      <c r="I121" s="767">
        <v>0.625</v>
      </c>
      <c r="J121" s="766" t="s">
        <v>539</v>
      </c>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27.75" hidden="1"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27.75" hidden="1"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27.75" hidden="1"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27.75" hidden="1"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27.75" hidden="1"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27.75" hidden="1"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27.75" hidden="1"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27.75" hidden="1"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27.75" hidden="1"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hidden="1" customHeight="1" outlineLevel="1">
      <c r="A131" s="661"/>
      <c r="B131" s="738"/>
      <c r="C131" s="697"/>
      <c r="D131" s="697"/>
      <c r="E131" s="697"/>
      <c r="F131" s="739" t="s">
        <v>521</v>
      </c>
      <c r="G131" s="740" t="s">
        <v>803</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27.75" hidden="1" customHeight="1" outlineLevel="1">
      <c r="A132" s="661"/>
      <c r="B132" s="743"/>
      <c r="C132" s="744">
        <f>IF(C121="","",IF(DAY(C121+1)=1,"",C121+1))</f>
        <v>46065</v>
      </c>
      <c r="D132" s="745" t="str">
        <f>TEXT(C132,"ddd")</f>
        <v>木</v>
      </c>
      <c r="E132" s="746"/>
      <c r="F132" s="774" t="s">
        <v>100</v>
      </c>
      <c r="G132" s="775" t="s">
        <v>804</v>
      </c>
      <c r="H132" s="776"/>
      <c r="I132" s="777">
        <v>0.6666666666666666</v>
      </c>
      <c r="J132" s="776">
        <v>8.0</v>
      </c>
      <c r="K132" s="776">
        <v>3.0</v>
      </c>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27.75" hidden="1"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27.75" hidden="1"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27.75" hidden="1"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27.75" hidden="1"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27.75" hidden="1"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27.75" hidden="1"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27.75" hidden="1"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27.75" hidden="1"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27.75" hidden="1"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hidden="1" customHeight="1" outlineLevel="1">
      <c r="A142" s="661"/>
      <c r="B142" s="738"/>
      <c r="C142" s="697"/>
      <c r="D142" s="697"/>
      <c r="E142" s="697"/>
      <c r="F142" s="757" t="s">
        <v>521</v>
      </c>
      <c r="G142" s="758" t="s">
        <v>805</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22.5" hidden="1" customHeight="1" outlineLevel="1">
      <c r="A143" s="661"/>
      <c r="B143" s="760"/>
      <c r="C143" s="761">
        <f>IF(C132="","",IF(DAY(C132+1)=1,"",C132+1))</f>
        <v>46066</v>
      </c>
      <c r="D143" s="762" t="str">
        <f>TEXT(C143,"ddd")</f>
        <v>金</v>
      </c>
      <c r="E143" s="763"/>
      <c r="F143" s="764" t="s">
        <v>142</v>
      </c>
      <c r="G143" s="765" t="s">
        <v>806</v>
      </c>
      <c r="H143" s="766"/>
      <c r="I143" s="766" t="s">
        <v>807</v>
      </c>
      <c r="J143" s="766" t="s">
        <v>539</v>
      </c>
      <c r="K143" s="766" t="s">
        <v>632</v>
      </c>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t="22.5" hidden="1"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22.5" hidden="1"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22.5" hidden="1"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22.5" hidden="1"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22.5" hidden="1"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22.5" hidden="1"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22.5" hidden="1"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22.5" hidden="1"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22.5" hidden="1"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t="18.0" hidden="1" customHeight="1" outlineLevel="1">
      <c r="A153" s="661"/>
      <c r="B153" s="738"/>
      <c r="C153" s="697"/>
      <c r="D153" s="697"/>
      <c r="E153" s="697"/>
      <c r="F153" s="739" t="s">
        <v>521</v>
      </c>
      <c r="G153" s="740" t="s">
        <v>808</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t="24.0" hidden="1" customHeight="1" outlineLevel="1">
      <c r="A154" s="661"/>
      <c r="B154" s="743"/>
      <c r="C154" s="744">
        <f>IF(C143="","",IF(DAY(C143+1)=1,"",C143+1))</f>
        <v>46067</v>
      </c>
      <c r="D154" s="745" t="str">
        <f>TEXT(C154,"ddd")</f>
        <v>土</v>
      </c>
      <c r="E154" s="746"/>
      <c r="F154" s="774" t="s">
        <v>132</v>
      </c>
      <c r="G154" s="775" t="s">
        <v>809</v>
      </c>
      <c r="H154" s="776"/>
      <c r="I154" s="777">
        <v>0.65625</v>
      </c>
      <c r="J154" s="776">
        <v>10.0</v>
      </c>
      <c r="K154" s="776">
        <v>2.0</v>
      </c>
      <c r="L154" s="754"/>
      <c r="M154" s="754"/>
      <c r="N154" s="774">
        <v>174.0</v>
      </c>
      <c r="O154" s="778"/>
      <c r="P154" s="770"/>
      <c r="Q154" s="771"/>
      <c r="R154" s="661"/>
      <c r="S154" s="228" t="str">
        <f t="array" ref="S154">IFERROR(INDEX('💻シート作成'!$D$6:$D1001, MATCH(T154, '💻シート作成'!$E$6:$E1001, 0)), "")</f>
        <v/>
      </c>
      <c r="T154" s="184"/>
      <c r="U154" s="664"/>
      <c r="V154" s="773"/>
      <c r="W154" s="661"/>
      <c r="X154" s="756"/>
      <c r="Y154" s="661"/>
      <c r="Z154" s="661"/>
    </row>
    <row r="155" ht="24.0" hidden="1" customHeight="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t="24.0" hidden="1" customHeight="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t="24.0" hidden="1" customHeight="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t="24.0" hidden="1" customHeight="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t="24.0" hidden="1" customHeight="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t="24.0" hidden="1" customHeight="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t="24.0" hidden="1" customHeight="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t="24.0" hidden="1" customHeight="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t="24.0" hidden="1" customHeight="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t="18.0" hidden="1" customHeight="1" outlineLevel="1">
      <c r="A164" s="661"/>
      <c r="B164" s="738"/>
      <c r="C164" s="697"/>
      <c r="D164" s="697"/>
      <c r="E164" s="697"/>
      <c r="F164" s="757" t="s">
        <v>521</v>
      </c>
      <c r="G164" s="758" t="s">
        <v>810</v>
      </c>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t="57.75" hidden="1" customHeight="1" outlineLevel="1">
      <c r="A165" s="661"/>
      <c r="B165" s="760"/>
      <c r="C165" s="761">
        <f>IF(C154="","",IF(DAY(C154+1)=1,"",C154+1))</f>
        <v>46068</v>
      </c>
      <c r="D165" s="762" t="str">
        <f>TEXT(C165,"ddd")</f>
        <v>日</v>
      </c>
      <c r="E165" s="763"/>
      <c r="F165" s="764" t="s">
        <v>132</v>
      </c>
      <c r="G165" s="765" t="s">
        <v>811</v>
      </c>
      <c r="H165" s="766"/>
      <c r="I165" s="767">
        <v>0.6875</v>
      </c>
      <c r="J165" s="766">
        <v>9.0</v>
      </c>
      <c r="K165" s="766">
        <v>1.0</v>
      </c>
      <c r="L165" s="768"/>
      <c r="M165" s="768"/>
      <c r="N165" s="764">
        <v>160.0</v>
      </c>
      <c r="O165" s="769"/>
      <c r="P165" s="770"/>
      <c r="Q165" s="771"/>
      <c r="R165" s="661"/>
      <c r="S165" s="228" t="str">
        <f t="array" ref="S165">IFERROR(INDEX('💻シート作成'!$D$6:$D1001, MATCH(T165, '💻シート作成'!$E$6:$E1001, 0)), "")</f>
        <v/>
      </c>
      <c r="T165" s="184"/>
      <c r="U165" s="664"/>
      <c r="V165" s="773"/>
      <c r="W165" s="661"/>
      <c r="X165" s="756"/>
      <c r="Y165" s="661"/>
      <c r="Z165" s="661"/>
    </row>
    <row r="166" ht="57.75" hidden="1" customHeight="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t="57.75" hidden="1" customHeight="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t="57.75" hidden="1" customHeight="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t="57.75" hidden="1" customHeight="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t="57.75" hidden="1" customHeight="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t="57.75" hidden="1" customHeight="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t="57.75" hidden="1" customHeight="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t="57.75" hidden="1" customHeight="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t="57.75" hidden="1" customHeight="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t="18.0" hidden="1" customHeight="1" outlineLevel="1">
      <c r="A175" s="661"/>
      <c r="B175" s="738"/>
      <c r="C175" s="697"/>
      <c r="D175" s="697"/>
      <c r="E175" s="697"/>
      <c r="F175" s="739" t="s">
        <v>521</v>
      </c>
      <c r="G175" s="740" t="s">
        <v>812</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553</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t="18.0" hidden="1" customHeight="1" outlineLevel="1">
      <c r="A177" s="661"/>
      <c r="B177" s="743"/>
      <c r="C177" s="744">
        <f>IF(C165="","",IF(DAY(C165+1)=1,"",C165+1))</f>
        <v>46069</v>
      </c>
      <c r="D177" s="745" t="str">
        <f>TEXT(C177,"ddd")</f>
        <v>月</v>
      </c>
      <c r="E177" s="746"/>
      <c r="F177" s="774" t="s">
        <v>142</v>
      </c>
      <c r="G177" s="775" t="s">
        <v>813</v>
      </c>
      <c r="H177" s="776"/>
      <c r="I177" s="776" t="s">
        <v>543</v>
      </c>
      <c r="J177" s="776">
        <v>8.0</v>
      </c>
      <c r="K177" s="776">
        <v>3.0</v>
      </c>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t="18.0" hidden="1" customHeight="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t="18.0" hidden="1" customHeight="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t="18.0" hidden="1" customHeight="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t="18.0" hidden="1" customHeight="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t="18.0" hidden="1" customHeight="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t="18.0" hidden="1" customHeight="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t="18.0" hidden="1" customHeight="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t="18.0" hidden="1" customHeight="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t="18.0" hidden="1" customHeight="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t="18.0" hidden="1" customHeight="1" outlineLevel="1">
      <c r="A187" s="661"/>
      <c r="B187" s="738"/>
      <c r="C187" s="697"/>
      <c r="D187" s="697"/>
      <c r="E187" s="697"/>
      <c r="F187" s="757" t="s">
        <v>521</v>
      </c>
      <c r="G187" s="758" t="s">
        <v>814</v>
      </c>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t="88.5" hidden="1" customHeight="1" outlineLevel="1">
      <c r="A188" s="661"/>
      <c r="B188" s="760"/>
      <c r="C188" s="761">
        <f>IF(C177="","",IF(DAY(C177+1)=1,"",C177+1))</f>
        <v>46070</v>
      </c>
      <c r="D188" s="762" t="str">
        <f>TEXT(C188,"ddd")</f>
        <v>火</v>
      </c>
      <c r="E188" s="763"/>
      <c r="F188" s="764" t="s">
        <v>132</v>
      </c>
      <c r="G188" s="765" t="s">
        <v>815</v>
      </c>
      <c r="H188" s="766"/>
      <c r="I188" s="767">
        <v>0.6666666666666666</v>
      </c>
      <c r="J188" s="766">
        <v>8.0</v>
      </c>
      <c r="K188" s="766">
        <v>2.0</v>
      </c>
      <c r="L188" s="768" t="s">
        <v>472</v>
      </c>
      <c r="M188" s="768" t="s">
        <v>532</v>
      </c>
      <c r="N188" s="764">
        <v>174.0</v>
      </c>
      <c r="O188" s="769"/>
      <c r="P188" s="770"/>
      <c r="Q188" s="771"/>
      <c r="R188" s="661"/>
      <c r="S188" s="228" t="str">
        <f t="array" ref="S188">IFERROR(INDEX('💻シート作成'!$D$6:$D1001, MATCH(T188, '💻シート作成'!$E$6:$E1001, 0)), "")</f>
        <v/>
      </c>
      <c r="T188" s="184"/>
      <c r="U188" s="664"/>
      <c r="V188" s="773"/>
      <c r="W188" s="661"/>
      <c r="X188" s="756"/>
      <c r="Y188" s="661"/>
      <c r="Z188" s="661"/>
    </row>
    <row r="189" ht="88.5" hidden="1" customHeight="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t="88.5" hidden="1" customHeight="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t="88.5" hidden="1" customHeight="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t="88.5" hidden="1" customHeight="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t="88.5" hidden="1" customHeight="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t="88.5" hidden="1" customHeight="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t="88.5" hidden="1" customHeight="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t="88.5" hidden="1" customHeight="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t="88.5" hidden="1" customHeight="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t="18.0" hidden="1" customHeight="1" outlineLevel="1">
      <c r="A198" s="661"/>
      <c r="B198" s="738"/>
      <c r="C198" s="697"/>
      <c r="D198" s="697"/>
      <c r="E198" s="697"/>
      <c r="F198" s="739" t="s">
        <v>521</v>
      </c>
      <c r="G198" s="740" t="s">
        <v>816</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t="87.0" hidden="1" customHeight="1" outlineLevel="1">
      <c r="A199" s="661"/>
      <c r="B199" s="743"/>
      <c r="C199" s="744">
        <f>IF(C188="","",IF(DAY(C188+1)=1,"",C188+1))</f>
        <v>46071</v>
      </c>
      <c r="D199" s="745" t="str">
        <f>TEXT(C199,"ddd")</f>
        <v>水</v>
      </c>
      <c r="E199" s="746"/>
      <c r="F199" s="774" t="s">
        <v>132</v>
      </c>
      <c r="G199" s="946" t="s">
        <v>817</v>
      </c>
      <c r="H199" s="776"/>
      <c r="I199" s="777">
        <v>0.65625</v>
      </c>
      <c r="J199" s="776">
        <v>9.0</v>
      </c>
      <c r="K199" s="776">
        <v>2.0</v>
      </c>
      <c r="L199" s="754"/>
      <c r="M199" s="754"/>
      <c r="N199" s="774">
        <v>175.0</v>
      </c>
      <c r="O199" s="778"/>
      <c r="P199" s="770"/>
      <c r="Q199" s="771"/>
      <c r="R199" s="661"/>
      <c r="S199" s="228" t="str">
        <f t="array" ref="S199">IFERROR(INDEX('💻シート作成'!$D$6:$D1001, MATCH(T199, '💻シート作成'!$E$6:$E1001, 0)), "")</f>
        <v/>
      </c>
      <c r="T199" s="184"/>
      <c r="U199" s="664"/>
      <c r="V199" s="773"/>
      <c r="W199" s="661"/>
      <c r="X199" s="756"/>
      <c r="Y199" s="661"/>
      <c r="Z199" s="661"/>
    </row>
    <row r="200" ht="87.0" hidden="1" customHeight="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t="87.0" hidden="1" customHeight="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t="87.0" hidden="1" customHeight="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t="87.0" hidden="1" customHeight="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t="87.0" hidden="1" customHeight="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t="87.0" hidden="1" customHeight="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t="87.0" hidden="1" customHeight="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t="87.0" hidden="1" customHeight="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t="87.0" hidden="1" customHeight="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t="18.0" hidden="1" customHeight="1" outlineLevel="1">
      <c r="A209" s="661"/>
      <c r="B209" s="738"/>
      <c r="C209" s="697"/>
      <c r="D209" s="697"/>
      <c r="E209" s="697"/>
      <c r="F209" s="757" t="s">
        <v>521</v>
      </c>
      <c r="G209" s="758" t="s">
        <v>818</v>
      </c>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t="60.0" hidden="1" customHeight="1" outlineLevel="1">
      <c r="A210" s="661"/>
      <c r="B210" s="760"/>
      <c r="C210" s="761">
        <f>IF(C199="","",IF(DAY(C199+1)=1,"",C199+1))</f>
        <v>46072</v>
      </c>
      <c r="D210" s="762" t="str">
        <f>TEXT(C210,"ddd")</f>
        <v>木</v>
      </c>
      <c r="E210" s="763"/>
      <c r="F210" s="764" t="s">
        <v>132</v>
      </c>
      <c r="G210" s="765" t="s">
        <v>819</v>
      </c>
      <c r="H210" s="766"/>
      <c r="I210" s="767">
        <v>0.6666666666666666</v>
      </c>
      <c r="J210" s="766">
        <v>9.0</v>
      </c>
      <c r="K210" s="766">
        <v>4.0</v>
      </c>
      <c r="L210" s="768" t="s">
        <v>480</v>
      </c>
      <c r="M210" s="768" t="s">
        <v>820</v>
      </c>
      <c r="N210" s="764">
        <v>120.0</v>
      </c>
      <c r="O210" s="769"/>
      <c r="P210" s="770"/>
      <c r="Q210" s="771"/>
      <c r="R210" s="661"/>
      <c r="S210" s="228" t="str">
        <f t="array" ref="S210">IFERROR(INDEX('💻シート作成'!$D$6:$D1001, MATCH(T210, '💻シート作成'!$E$6:$E1001, 0)), "")</f>
        <v/>
      </c>
      <c r="T210" s="184"/>
      <c r="U210" s="664"/>
      <c r="V210" s="773"/>
      <c r="W210" s="661"/>
      <c r="X210" s="756"/>
      <c r="Y210" s="661"/>
      <c r="Z210" s="661"/>
    </row>
    <row r="211" ht="60.0" hidden="1" customHeight="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t="60.0" hidden="1" customHeight="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t="60.0" hidden="1" customHeight="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t="60.0" hidden="1" customHeight="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t="60.0" hidden="1" customHeight="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t="60.0" hidden="1" customHeight="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t="60.0" hidden="1" customHeight="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t="60.0" hidden="1" customHeight="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t="60.0" hidden="1" customHeight="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t="18.0" hidden="1" customHeight="1" outlineLevel="1">
      <c r="A220" s="661"/>
      <c r="B220" s="738"/>
      <c r="C220" s="697"/>
      <c r="D220" s="697"/>
      <c r="E220" s="697"/>
      <c r="F220" s="739" t="s">
        <v>521</v>
      </c>
      <c r="G220" s="740" t="s">
        <v>821</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t="63.0" hidden="1" customHeight="1" outlineLevel="1">
      <c r="A221" s="661"/>
      <c r="B221" s="743"/>
      <c r="C221" s="744">
        <f>IF(C210="","",IF(DAY(C210+1)=1,"",C210+1))</f>
        <v>46073</v>
      </c>
      <c r="D221" s="745" t="str">
        <f>TEXT(C221,"ddd")</f>
        <v>金</v>
      </c>
      <c r="E221" s="947" t="s">
        <v>822</v>
      </c>
      <c r="F221" s="774" t="s">
        <v>132</v>
      </c>
      <c r="G221" s="775" t="s">
        <v>823</v>
      </c>
      <c r="H221" s="776">
        <v>1.0</v>
      </c>
      <c r="I221" s="777">
        <v>0.6979166666666666</v>
      </c>
      <c r="J221" s="776">
        <v>8.0</v>
      </c>
      <c r="K221" s="776">
        <v>1.0</v>
      </c>
      <c r="L221" s="754"/>
      <c r="M221" s="754"/>
      <c r="N221" s="774" t="s">
        <v>824</v>
      </c>
      <c r="O221" s="778"/>
      <c r="P221" s="770"/>
      <c r="Q221" s="771"/>
      <c r="R221" s="661"/>
      <c r="S221" s="228" t="str">
        <f t="array" ref="S221">IFERROR(INDEX('💻シート作成'!$D$6:$D1001, MATCH(T221, '💻シート作成'!$E$6:$E1001, 0)), "")</f>
        <v/>
      </c>
      <c r="T221" s="184"/>
      <c r="U221" s="664"/>
      <c r="V221" s="773"/>
      <c r="W221" s="661"/>
      <c r="X221" s="756"/>
      <c r="Y221" s="661"/>
      <c r="Z221" s="661"/>
    </row>
    <row r="222" ht="63.0" hidden="1" customHeight="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t="63.0" hidden="1" customHeight="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t="63.0" hidden="1" customHeight="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t="63.0" hidden="1" customHeight="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t="63.0" hidden="1" customHeight="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t="63.0" hidden="1" customHeight="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t="63.0" hidden="1" customHeight="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t="63.0" hidden="1" customHeight="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t="63.0" hidden="1" customHeight="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t="18.0" hidden="1" customHeight="1" outlineLevel="1">
      <c r="A231" s="661"/>
      <c r="B231" s="738"/>
      <c r="C231" s="697"/>
      <c r="D231" s="697"/>
      <c r="E231" s="697"/>
      <c r="F231" s="757" t="s">
        <v>521</v>
      </c>
      <c r="G231" s="758" t="s">
        <v>825</v>
      </c>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 r="A232" s="661"/>
      <c r="B232" s="779" t="s">
        <v>554</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t="48.0" customHeight="1" outlineLevel="1">
      <c r="A233" s="661"/>
      <c r="B233" s="760"/>
      <c r="C233" s="761">
        <f>IF(C221="","",IF(DAY(C221+1)=1,"",C221+1))</f>
        <v>46074</v>
      </c>
      <c r="D233" s="762" t="str">
        <f>TEXT(C233,"ddd")</f>
        <v>土</v>
      </c>
      <c r="E233" s="763"/>
      <c r="F233" s="764" t="s">
        <v>132</v>
      </c>
      <c r="G233" s="765" t="s">
        <v>826</v>
      </c>
      <c r="H233" s="766"/>
      <c r="I233" s="767">
        <v>0.6666666666666666</v>
      </c>
      <c r="J233" s="766">
        <v>11.0</v>
      </c>
      <c r="K233" s="766">
        <v>1.0</v>
      </c>
      <c r="L233" s="768"/>
      <c r="M233" s="768"/>
      <c r="N233" s="774" t="s">
        <v>827</v>
      </c>
      <c r="O233" s="769"/>
      <c r="P233" s="770"/>
      <c r="Q233" s="771"/>
      <c r="R233" s="661"/>
      <c r="S233" s="228" t="str">
        <f t="array" ref="S233">IFERROR(INDEX('💻シート作成'!$D$6:$D1001, MATCH(T233, '💻シート作成'!$E$6:$E1001, 0)), "")</f>
        <v/>
      </c>
      <c r="T233" s="184"/>
      <c r="U233" s="664"/>
      <c r="V233" s="773"/>
      <c r="W233" s="661"/>
      <c r="X233" s="756"/>
      <c r="Y233" s="661"/>
      <c r="Z233" s="661"/>
    </row>
    <row r="234" ht="48.0" customHeight="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t="48.0" customHeight="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t="48.0" customHeight="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t="48.0" customHeight="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t="48.0" customHeight="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t="48.0" customHeight="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t="48.0" customHeight="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t="48.0" customHeight="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t="48.0" customHeight="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t="18.0" customHeight="1" outlineLevel="1">
      <c r="A243" s="661"/>
      <c r="B243" s="738"/>
      <c r="C243" s="697"/>
      <c r="D243" s="697"/>
      <c r="E243" s="697"/>
      <c r="F243" s="739" t="s">
        <v>521</v>
      </c>
      <c r="G243" s="740" t="s">
        <v>828</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t="73.5" customHeight="1" outlineLevel="1">
      <c r="A244" s="661"/>
      <c r="B244" s="743"/>
      <c r="C244" s="744">
        <f>IF(C233="","",IF(DAY(C233+1)=1,"",C233+1))</f>
        <v>46075</v>
      </c>
      <c r="D244" s="745" t="str">
        <f>TEXT(C244,"ddd")</f>
        <v>日</v>
      </c>
      <c r="E244" s="746"/>
      <c r="F244" s="774" t="s">
        <v>132</v>
      </c>
      <c r="G244" s="775" t="s">
        <v>829</v>
      </c>
      <c r="H244" s="776"/>
      <c r="I244" s="777">
        <v>0.6666666666666666</v>
      </c>
      <c r="J244" s="776">
        <v>10.0</v>
      </c>
      <c r="K244" s="776">
        <v>1.0</v>
      </c>
      <c r="L244" s="754"/>
      <c r="M244" s="754"/>
      <c r="N244" s="774" t="s">
        <v>830</v>
      </c>
      <c r="O244" s="778"/>
      <c r="P244" s="770"/>
      <c r="Q244" s="771"/>
      <c r="R244" s="661"/>
      <c r="S244" s="228" t="str">
        <f t="array" ref="S244">IFERROR(INDEX('💻シート作成'!$D$6:$D1001, MATCH(T244, '💻シート作成'!$E$6:$E1001, 0)), "")</f>
        <v/>
      </c>
      <c r="T244" s="184"/>
      <c r="U244" s="664"/>
      <c r="V244" s="773"/>
      <c r="W244" s="661"/>
      <c r="X244" s="756"/>
      <c r="Y244" s="661"/>
      <c r="Z244" s="661"/>
    </row>
    <row r="245" ht="73.5" customHeight="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t="73.5" customHeight="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t="73.5" customHeight="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t="73.5" customHeight="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t="73.5" customHeight="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t="73.5" customHeight="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t="73.5" customHeight="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t="73.5" customHeight="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t="73.5" customHeight="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t="18.0" customHeight="1" outlineLevel="1">
      <c r="A254" s="661"/>
      <c r="B254" s="738"/>
      <c r="C254" s="697"/>
      <c r="D254" s="697"/>
      <c r="E254" s="697"/>
      <c r="F254" s="757" t="s">
        <v>521</v>
      </c>
      <c r="G254" s="758" t="s">
        <v>831</v>
      </c>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t="26.25" customHeight="1" outlineLevel="1">
      <c r="A255" s="661"/>
      <c r="B255" s="760"/>
      <c r="C255" s="761">
        <f>IF(C244="","",IF(DAY(C244+1)=1,"",C244+1))</f>
        <v>46076</v>
      </c>
      <c r="D255" s="762" t="str">
        <f>TEXT(C255,"ddd")</f>
        <v>月</v>
      </c>
      <c r="E255" s="763"/>
      <c r="F255" s="764" t="s">
        <v>551</v>
      </c>
      <c r="G255" s="765" t="s">
        <v>832</v>
      </c>
      <c r="H255" s="766"/>
      <c r="I255" s="766" t="s">
        <v>543</v>
      </c>
      <c r="J255" s="766" t="s">
        <v>539</v>
      </c>
      <c r="K255" s="766" t="s">
        <v>540</v>
      </c>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t="26.25" customHeight="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t="26.25" customHeight="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t="26.25" customHeight="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t="26.25" customHeight="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t="26.25" customHeight="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t="26.25" customHeight="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t="26.25" customHeight="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t="26.25" customHeight="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t="26.25" customHeight="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t="18.0" customHeight="1" outlineLevel="1">
      <c r="A265" s="661"/>
      <c r="B265" s="738"/>
      <c r="C265" s="697"/>
      <c r="D265" s="697"/>
      <c r="E265" s="697"/>
      <c r="F265" s="739" t="s">
        <v>521</v>
      </c>
      <c r="G265" s="740" t="s">
        <v>833</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t="19.5" customHeight="1" outlineLevel="1">
      <c r="A266" s="661"/>
      <c r="B266" s="743"/>
      <c r="C266" s="744">
        <f>IF(C255="","",IF(DAY(C255+1)=1,"",C255+1))</f>
        <v>46077</v>
      </c>
      <c r="D266" s="745" t="str">
        <f>TEXT(C266,"ddd")</f>
        <v>火</v>
      </c>
      <c r="E266" s="746"/>
      <c r="F266" s="774" t="s">
        <v>119</v>
      </c>
      <c r="G266" s="775" t="s">
        <v>834</v>
      </c>
      <c r="H266" s="776"/>
      <c r="I266" s="777">
        <v>0.6666666666666666</v>
      </c>
      <c r="J266" s="776">
        <v>9.0</v>
      </c>
      <c r="K266" s="776">
        <v>3.0</v>
      </c>
      <c r="L266" s="754"/>
      <c r="M266" s="754"/>
      <c r="N266" s="774" t="s">
        <v>835</v>
      </c>
      <c r="O266" s="778"/>
      <c r="P266" s="770"/>
      <c r="Q266" s="771"/>
      <c r="R266" s="661"/>
      <c r="S266" s="228" t="str">
        <f t="array" ref="S266">IFERROR(INDEX('💻シート作成'!$D$6:$D1001, MATCH(T266, '💻シート作成'!$E$6:$E1001, 0)), "")</f>
        <v/>
      </c>
      <c r="T266" s="184"/>
      <c r="U266" s="664"/>
      <c r="V266" s="773"/>
      <c r="W266" s="661"/>
      <c r="X266" s="756"/>
      <c r="Y266" s="661"/>
      <c r="Z266" s="661"/>
    </row>
    <row r="267" ht="19.5" customHeight="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t="19.5" customHeight="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t="19.5" customHeight="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t="19.5" customHeight="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t="19.5" customHeight="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t="19.5" customHeight="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t="19.5" customHeight="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t="19.5" customHeight="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t="19.5" customHeight="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t="18.0" customHeight="1" outlineLevel="1">
      <c r="A276" s="661"/>
      <c r="B276" s="738"/>
      <c r="C276" s="697"/>
      <c r="D276" s="697"/>
      <c r="E276" s="697"/>
      <c r="F276" s="757" t="s">
        <v>521</v>
      </c>
      <c r="G276" s="758" t="s">
        <v>836</v>
      </c>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t="24.75" customHeight="1" outlineLevel="1">
      <c r="A277" s="661"/>
      <c r="B277" s="760"/>
      <c r="C277" s="761">
        <f>IF(C266="","",IF(DAY(C266+1)=1,"",C266+1))</f>
        <v>46078</v>
      </c>
      <c r="D277" s="762" t="str">
        <f>TEXT(C277,"ddd")</f>
        <v>水</v>
      </c>
      <c r="E277" s="763"/>
      <c r="F277" s="764" t="s">
        <v>142</v>
      </c>
      <c r="G277" s="765" t="s">
        <v>837</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t="24.75" customHeight="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t="24.75" customHeight="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t="24.75" customHeight="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t="24.75" customHeight="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t="24.75" customHeight="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t="24.75" customHeight="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t="24.75" customHeight="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t="24.75" customHeight="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t="24.75" customHeight="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t="18.0" customHeight="1" outlineLevel="1">
      <c r="A287" s="661"/>
      <c r="B287" s="738"/>
      <c r="C287" s="697"/>
      <c r="D287" s="697"/>
      <c r="E287" s="697"/>
      <c r="F287" s="739" t="s">
        <v>521</v>
      </c>
      <c r="G287" s="740" t="s">
        <v>838</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 r="A288" s="661"/>
      <c r="B288" s="779" t="s">
        <v>555</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t="37.5" customHeight="1" outlineLevel="1">
      <c r="A289" s="661"/>
      <c r="B289" s="743"/>
      <c r="C289" s="744">
        <f>IF(C277="","",IF(DAY(C277+1)=1,"",C277+1))</f>
        <v>46079</v>
      </c>
      <c r="D289" s="745" t="str">
        <f>TEXT(C289,"ddd")</f>
        <v>木</v>
      </c>
      <c r="E289" s="746"/>
      <c r="F289" s="774" t="s">
        <v>132</v>
      </c>
      <c r="G289" s="775" t="s">
        <v>839</v>
      </c>
      <c r="H289" s="776"/>
      <c r="I289" s="948">
        <v>0.6666666666666666</v>
      </c>
      <c r="J289" s="776">
        <v>11.0</v>
      </c>
      <c r="K289" s="776">
        <v>4.0</v>
      </c>
      <c r="L289" s="754"/>
      <c r="M289" s="754"/>
      <c r="N289" s="774" t="s">
        <v>840</v>
      </c>
      <c r="O289" s="778"/>
      <c r="P289" s="770"/>
      <c r="Q289" s="771"/>
      <c r="R289" s="661"/>
      <c r="S289" s="661"/>
      <c r="T289" s="661"/>
      <c r="U289" s="664"/>
      <c r="V289" s="665"/>
      <c r="W289" s="661"/>
      <c r="X289" s="661"/>
      <c r="Y289" s="661"/>
      <c r="Z289" s="661"/>
    </row>
    <row r="290" ht="37.5" customHeight="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t="37.5" customHeight="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t="37.5" customHeight="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t="37.5" customHeight="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t="37.5" customHeight="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t="37.5" customHeight="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t="37.5" customHeight="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t="37.5" customHeight="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t="37.5" customHeight="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7" t="s">
        <v>521</v>
      </c>
      <c r="G299" s="758" t="s">
        <v>841</v>
      </c>
      <c r="H299" s="741"/>
      <c r="I299" s="741"/>
      <c r="J299" s="741"/>
      <c r="K299" s="741"/>
      <c r="L299" s="758"/>
      <c r="M299" s="758"/>
      <c r="N299" s="758"/>
      <c r="O299" s="758"/>
      <c r="P299" s="758"/>
      <c r="Q299" s="759"/>
      <c r="R299" s="661"/>
      <c r="S299" s="661"/>
      <c r="T299" s="661"/>
      <c r="U299" s="664"/>
      <c r="V299" s="665"/>
      <c r="W299" s="661"/>
      <c r="X299" s="661"/>
      <c r="Y299" s="661"/>
      <c r="Z299" s="661"/>
    </row>
    <row r="300" ht="69.75" customHeight="1" outlineLevel="1">
      <c r="A300" s="661"/>
      <c r="B300" s="760"/>
      <c r="C300" s="761">
        <f>IF(C289="","",IF(DAY(C289+1)=1,"",C289+1))</f>
        <v>46080</v>
      </c>
      <c r="D300" s="762" t="str">
        <f>TEXT(C300,"ddd")</f>
        <v>金</v>
      </c>
      <c r="E300" s="763"/>
      <c r="F300" s="764" t="s">
        <v>132</v>
      </c>
      <c r="G300" s="765" t="s">
        <v>842</v>
      </c>
      <c r="H300" s="766"/>
      <c r="I300" s="767">
        <v>0.6666666666666666</v>
      </c>
      <c r="J300" s="766">
        <v>8.0</v>
      </c>
      <c r="K300" s="766">
        <v>1.0</v>
      </c>
      <c r="L300" s="768" t="s">
        <v>529</v>
      </c>
      <c r="M300" s="768" t="s">
        <v>843</v>
      </c>
      <c r="N300" s="764" t="s">
        <v>844</v>
      </c>
      <c r="O300" s="769"/>
      <c r="P300" s="770"/>
      <c r="Q300" s="771"/>
      <c r="R300" s="661"/>
      <c r="S300" s="661"/>
      <c r="T300" s="661"/>
      <c r="U300" s="664"/>
      <c r="V300" s="665"/>
      <c r="W300" s="661"/>
      <c r="X300" s="661"/>
      <c r="Y300" s="661"/>
      <c r="Z300" s="661"/>
    </row>
    <row r="301" ht="69.75" customHeight="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t="69.75" customHeight="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t="69.75" customHeight="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t="69.75" customHeight="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t="69.75" customHeight="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t="69.75" customHeight="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t="69.75" customHeight="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t="69.75" customHeight="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t="69.75" customHeight="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521</v>
      </c>
      <c r="G310" s="740" t="s">
        <v>845</v>
      </c>
      <c r="H310" s="741"/>
      <c r="I310" s="741"/>
      <c r="J310" s="741"/>
      <c r="K310" s="741"/>
      <c r="L310" s="740"/>
      <c r="M310" s="740"/>
      <c r="N310" s="740"/>
      <c r="O310" s="740"/>
      <c r="P310" s="740"/>
      <c r="Q310" s="742"/>
      <c r="R310" s="661"/>
      <c r="S310" s="661"/>
      <c r="T310" s="661"/>
      <c r="U310" s="664"/>
      <c r="V310" s="665"/>
      <c r="W310" s="661"/>
      <c r="X310" s="661"/>
      <c r="Y310" s="661"/>
      <c r="Z310" s="661"/>
    </row>
    <row r="311" ht="61.5" customHeight="1" outlineLevel="1">
      <c r="A311" s="661"/>
      <c r="B311" s="743"/>
      <c r="C311" s="744">
        <f>IF(C300="","",IF(DAY(C300+1)=1,"",C300+1))</f>
        <v>46081</v>
      </c>
      <c r="D311" s="745" t="str">
        <f>TEXT(C311,"ddd")</f>
        <v>土</v>
      </c>
      <c r="E311" s="746" t="s">
        <v>846</v>
      </c>
      <c r="F311" s="774" t="s">
        <v>132</v>
      </c>
      <c r="G311" s="775" t="s">
        <v>847</v>
      </c>
      <c r="H311" s="776"/>
      <c r="I311" s="777">
        <v>0.6875</v>
      </c>
      <c r="J311" s="776">
        <v>9.0</v>
      </c>
      <c r="K311" s="776">
        <v>3.0</v>
      </c>
      <c r="L311" s="754" t="s">
        <v>529</v>
      </c>
      <c r="M311" s="754" t="s">
        <v>848</v>
      </c>
      <c r="N311" s="774" t="s">
        <v>849</v>
      </c>
      <c r="O311" s="778"/>
      <c r="P311" s="770"/>
      <c r="Q311" s="771"/>
      <c r="R311" s="661"/>
      <c r="S311" s="661"/>
      <c r="T311" s="661"/>
      <c r="U311" s="664"/>
      <c r="V311" s="665"/>
      <c r="W311" s="661"/>
      <c r="X311" s="661"/>
      <c r="Y311" s="661"/>
      <c r="Z311" s="661"/>
    </row>
    <row r="312" ht="61.5" customHeight="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t="61.5" customHeight="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t="61.5" customHeight="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t="61.5" customHeight="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t="61.5" customHeight="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t="61.5" customHeight="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t="61.5" customHeight="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t="61.5" customHeight="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t="61.5" customHeight="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7" t="s">
        <v>521</v>
      </c>
      <c r="G321" s="758" t="s">
        <v>850</v>
      </c>
      <c r="H321" s="741"/>
      <c r="I321" s="741"/>
      <c r="J321" s="741"/>
      <c r="K321" s="741"/>
      <c r="L321" s="758"/>
      <c r="M321" s="758"/>
      <c r="N321" s="758"/>
      <c r="O321" s="758"/>
      <c r="P321" s="758"/>
      <c r="Q321" s="759"/>
      <c r="R321" s="661"/>
      <c r="S321" s="661"/>
      <c r="T321" s="661"/>
      <c r="U321" s="664"/>
      <c r="V321" s="665"/>
      <c r="W321" s="661"/>
      <c r="X321" s="661"/>
      <c r="Y321" s="661"/>
      <c r="Z321" s="661"/>
    </row>
    <row r="322" outlineLevel="1">
      <c r="A322" s="661"/>
      <c r="B322" s="760"/>
      <c r="C322" s="761" t="str">
        <f>IF(C311="","",IF(DAY(C311+1)=1,"",C311+1))</f>
        <v/>
      </c>
      <c r="D322" s="762" t="str">
        <f>TEXT(C322,"ddd")</f>
        <v/>
      </c>
      <c r="E322" s="763"/>
      <c r="F322" s="764" t="s">
        <v>551</v>
      </c>
      <c r="G322" s="765"/>
      <c r="H322" s="766"/>
      <c r="I322" s="767">
        <v>0.0</v>
      </c>
      <c r="J322" s="762"/>
      <c r="K322" s="762"/>
      <c r="L322" s="768"/>
      <c r="M322" s="768"/>
      <c r="N322" s="764"/>
      <c r="O322" s="769"/>
      <c r="P322" s="770"/>
      <c r="Q322" s="771"/>
      <c r="R322" s="661"/>
      <c r="S322" s="661"/>
      <c r="T322" s="661"/>
      <c r="U322" s="664"/>
      <c r="V322" s="665"/>
      <c r="W322" s="661"/>
      <c r="X322" s="661"/>
      <c r="Y322" s="661"/>
      <c r="Z322" s="661"/>
    </row>
    <row r="323"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outlineLevel="1">
      <c r="A333" s="661"/>
      <c r="B333" s="743"/>
      <c r="C333" s="744" t="str">
        <f>IF(C322="","",IF(DAY(C322+1)=1,"",C322+1))</f>
        <v/>
      </c>
      <c r="D333" s="745" t="str">
        <f>TEXT(C333,"ddd")</f>
        <v/>
      </c>
      <c r="E333" s="746"/>
      <c r="F333" s="774" t="s">
        <v>551</v>
      </c>
      <c r="G333" s="775"/>
      <c r="H333" s="776"/>
      <c r="I333" s="777">
        <v>0.0</v>
      </c>
      <c r="J333" s="745"/>
      <c r="K333" s="745"/>
      <c r="L333" s="754"/>
      <c r="M333" s="754"/>
      <c r="N333" s="774"/>
      <c r="O333" s="778"/>
      <c r="P333" s="770"/>
      <c r="Q333" s="771"/>
      <c r="R333" s="661"/>
      <c r="S333" s="661"/>
      <c r="T333" s="661"/>
      <c r="U333" s="664"/>
      <c r="V333" s="665"/>
      <c r="W333" s="661"/>
      <c r="X333" s="661"/>
      <c r="Y333" s="661"/>
      <c r="Z333" s="661"/>
    </row>
    <row r="334"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outlineLevel="1">
      <c r="A344" s="661"/>
      <c r="B344" s="760"/>
      <c r="C344" s="761" t="str">
        <f>IF(C333="","",IF(DAY(C333+1)=1,"",C333+1))</f>
        <v/>
      </c>
      <c r="D344" s="762" t="str">
        <f>TEXT(C344,"ddd")</f>
        <v/>
      </c>
      <c r="E344" s="763"/>
      <c r="F344" s="764" t="s">
        <v>551</v>
      </c>
      <c r="G344" s="765"/>
      <c r="H344" s="766"/>
      <c r="I344" s="767">
        <v>0.0</v>
      </c>
      <c r="J344" s="762"/>
      <c r="K344" s="762"/>
      <c r="L344" s="768"/>
      <c r="M344" s="768"/>
      <c r="N344" s="764"/>
      <c r="O344" s="769"/>
      <c r="P344" s="770"/>
      <c r="Q344" s="771"/>
      <c r="R344" s="661"/>
      <c r="S344" s="661"/>
      <c r="T344" s="661"/>
      <c r="U344" s="664"/>
      <c r="V344" s="665"/>
      <c r="W344" s="661"/>
      <c r="X344" s="661"/>
      <c r="Y344" s="661"/>
      <c r="Z344" s="661"/>
    </row>
    <row r="345"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556</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557</v>
      </c>
      <c r="C4" s="805"/>
      <c r="D4" s="806" t="s">
        <v>558</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t="s">
        <v>132</v>
      </c>
      <c r="E5" s="810" t="b">
        <v>1</v>
      </c>
      <c r="F5" s="808" t="s">
        <v>559</v>
      </c>
      <c r="G5" s="811" t="s">
        <v>188</v>
      </c>
      <c r="H5" s="812" t="b">
        <v>1</v>
      </c>
      <c r="J5" s="813"/>
      <c r="K5" s="797"/>
      <c r="L5" s="814" t="s">
        <v>560</v>
      </c>
      <c r="T5" s="813"/>
      <c r="U5" s="815" t="s">
        <v>561</v>
      </c>
      <c r="AC5" s="798"/>
      <c r="AD5" s="816" t="s">
        <v>96</v>
      </c>
      <c r="AE5" s="816" t="s">
        <v>562</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563</v>
      </c>
      <c r="M7" s="236"/>
      <c r="N7" s="236"/>
      <c r="O7" s="236"/>
      <c r="P7" s="236"/>
      <c r="Q7" s="236"/>
      <c r="R7" s="236"/>
      <c r="S7" s="113"/>
      <c r="T7" s="820" t="s">
        <v>564</v>
      </c>
      <c r="U7" s="821" t="s">
        <v>565</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566</v>
      </c>
      <c r="C8" s="823"/>
      <c r="D8" s="824" t="s">
        <v>51</v>
      </c>
      <c r="E8" s="825" t="str">
        <f>IFERROR(__xludf.DUMMYFUNCTION("IFERROR(INDEX(FILTER($AE$6:$AE$200, $AD$6:$AD$200=$B$5, REGEXMATCH($AE$6:$AE$200, ""集計"")), 1), """")
"),"①R8_2集計")</f>
        <v>①R8_2集計</v>
      </c>
      <c r="F8" s="526"/>
      <c r="G8" s="223"/>
      <c r="H8" s="223"/>
      <c r="I8" s="200"/>
      <c r="J8" s="813"/>
      <c r="K8" s="797"/>
      <c r="L8" s="826" t="s">
        <v>851</v>
      </c>
      <c r="M8" s="247"/>
      <c r="N8" s="247"/>
      <c r="O8" s="247"/>
      <c r="P8" s="247"/>
      <c r="Q8" s="247"/>
      <c r="R8" s="247"/>
      <c r="S8" s="250"/>
      <c r="U8" s="826" t="s">
        <v>852</v>
      </c>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0.1556509123</v>
      </c>
      <c r="D10" s="832">
        <f t="array" ref="D10">INDIRECT($E$8 &amp; "!E8")</f>
        <v>0.6397365986</v>
      </c>
      <c r="E10" s="832">
        <f t="array" ref="E10">INDIRECT($E$8 &amp; "!G8")</f>
        <v>0.8718105736</v>
      </c>
      <c r="F10" s="833">
        <f t="array" ref="F10">INDIRECT($E$8 &amp; "!H8")</f>
        <v>4791800</v>
      </c>
      <c r="G10" s="833">
        <f t="array" ref="G10">INDIRECT($E$8 &amp; "!K8")</f>
        <v>10328</v>
      </c>
      <c r="H10" s="833">
        <f t="array" ref="H10">INDIRECT($E$8 &amp; "!M8")</f>
        <v>745848.0417</v>
      </c>
      <c r="I10" s="832">
        <f t="array" ref="I10">INDIRECT($E$8 &amp; "!AT7")</f>
        <v>0.001428863033</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0.2560644624</v>
      </c>
      <c r="D11" s="836"/>
      <c r="E11" s="837"/>
      <c r="F11" s="838">
        <f t="array" ref="F11">INDIRECT($E$8 &amp; "!H7")</f>
        <v>4642325</v>
      </c>
      <c r="G11" s="836"/>
      <c r="H11" s="839">
        <f t="array" ref="H11">INDIRECT($E$8 &amp; "!M7")</f>
        <v>1188734.455</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567</v>
      </c>
      <c r="C13" s="843"/>
      <c r="D13" s="844" t="s">
        <v>51</v>
      </c>
      <c r="E13" s="845" t="s">
        <v>568</v>
      </c>
      <c r="F13" s="200"/>
      <c r="G13" s="200"/>
      <c r="H13" s="846" t="s">
        <v>35</v>
      </c>
      <c r="I13" s="847">
        <f t="array" ref="I13">xlookup($B$5,'🔵クレーム'!$C$10:$C$21,'🔵クレーム'!X$10:X$21)</f>
        <v>0.001588021779</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569</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1</v>
      </c>
      <c r="F15" s="850">
        <f t="array" ref="F15">xlookup($B$5,'🔵クレーム'!$C$10:$C$21,'🔵クレーム'!H$10:H$21)</f>
        <v>1</v>
      </c>
      <c r="G15" s="850">
        <f t="array" ref="G15">xlookup($B$5,'🔵クレーム'!$C$10:$C$21,'🔵クレーム'!I$10:I$21)</f>
        <v>2</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2</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570</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571</v>
      </c>
      <c r="C20" s="829" t="s">
        <v>572</v>
      </c>
      <c r="D20" s="829" t="s">
        <v>89</v>
      </c>
      <c r="E20" s="829" t="s">
        <v>90</v>
      </c>
      <c r="F20" s="829" t="s">
        <v>573</v>
      </c>
      <c r="G20" s="829" t="s">
        <v>135</v>
      </c>
      <c r="H20" s="829" t="s">
        <v>135</v>
      </c>
      <c r="I20" s="829" t="s">
        <v>574</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v>3.0</v>
      </c>
      <c r="C21" s="861">
        <v>0.0</v>
      </c>
      <c r="D21" s="861">
        <v>6.0</v>
      </c>
      <c r="E21" s="861">
        <v>16.0</v>
      </c>
      <c r="F21" s="861">
        <v>3.0</v>
      </c>
      <c r="G21" s="862"/>
      <c r="H21" s="862"/>
      <c r="I21" s="863">
        <f>sum(B21:G21)</f>
        <v>28</v>
      </c>
      <c r="J21" s="813"/>
      <c r="K21" s="797"/>
      <c r="L21" s="864" t="s">
        <v>575</v>
      </c>
      <c r="M21" s="232"/>
      <c r="N21" s="232"/>
      <c r="O21" s="232"/>
      <c r="P21" s="232"/>
      <c r="Q21" s="232"/>
      <c r="R21" s="232"/>
      <c r="S21" s="3"/>
      <c r="T21" s="820" t="s">
        <v>564</v>
      </c>
      <c r="U21" s="821" t="s">
        <v>576</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t="s">
        <v>853</v>
      </c>
      <c r="M22" s="247"/>
      <c r="N22" s="247"/>
      <c r="O22" s="247"/>
      <c r="P22" s="247"/>
      <c r="Q22" s="247"/>
      <c r="R22" s="247"/>
      <c r="S22" s="250"/>
      <c r="U22" s="826" t="s">
        <v>854</v>
      </c>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577</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578</v>
      </c>
      <c r="C25" s="869" t="s">
        <v>579</v>
      </c>
      <c r="D25" s="3"/>
      <c r="E25" s="869" t="s">
        <v>580</v>
      </c>
      <c r="F25" s="232"/>
      <c r="G25" s="232"/>
      <c r="H25" s="869" t="s">
        <v>581</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t="s">
        <v>855</v>
      </c>
      <c r="C26" s="871" t="s">
        <v>90</v>
      </c>
      <c r="D26" s="3"/>
      <c r="E26" s="871" t="s">
        <v>856</v>
      </c>
      <c r="F26" s="232"/>
      <c r="G26" s="232"/>
      <c r="H26" s="872" t="s">
        <v>857</v>
      </c>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t="s">
        <v>718</v>
      </c>
      <c r="C27" s="871" t="s">
        <v>89</v>
      </c>
      <c r="D27" s="3"/>
      <c r="E27" s="871" t="s">
        <v>719</v>
      </c>
      <c r="F27" s="232"/>
      <c r="G27" s="232"/>
      <c r="H27" s="872" t="s">
        <v>858</v>
      </c>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582</v>
      </c>
      <c r="M35" s="232"/>
      <c r="N35" s="232"/>
      <c r="O35" s="232"/>
      <c r="P35" s="232"/>
      <c r="Q35" s="232"/>
      <c r="R35" s="232"/>
      <c r="S35" s="3"/>
      <c r="T35" s="820" t="s">
        <v>564</v>
      </c>
      <c r="U35" s="821" t="s">
        <v>582</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t="s">
        <v>859</v>
      </c>
      <c r="M36" s="247"/>
      <c r="N36" s="247"/>
      <c r="O36" s="247"/>
      <c r="P36" s="247"/>
      <c r="Q36" s="247"/>
      <c r="R36" s="247"/>
      <c r="S36" s="250"/>
      <c r="U36" s="826" t="s">
        <v>860</v>
      </c>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583</v>
      </c>
      <c r="C37" s="876"/>
      <c r="D37" s="877">
        <f>counta(C39:D48)</f>
        <v>0</v>
      </c>
      <c r="E37" s="878" t="s">
        <v>584</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580</v>
      </c>
      <c r="F38" s="882"/>
      <c r="G38" s="881" t="s">
        <v>585</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586</v>
      </c>
      <c r="M49" s="232"/>
      <c r="N49" s="232"/>
      <c r="O49" s="232"/>
      <c r="P49" s="232"/>
      <c r="Q49" s="232"/>
      <c r="R49" s="232"/>
      <c r="S49" s="3"/>
      <c r="T49" s="820" t="s">
        <v>564</v>
      </c>
      <c r="U49" s="821" t="s">
        <v>587</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588</v>
      </c>
      <c r="C50" s="895"/>
      <c r="D50" s="896">
        <f>COUNTA(C52:D62)</f>
        <v>2</v>
      </c>
      <c r="E50" s="859"/>
      <c r="F50" s="859"/>
      <c r="G50" s="859"/>
      <c r="H50" s="859"/>
      <c r="I50" s="798"/>
      <c r="J50" s="798"/>
      <c r="K50" s="797"/>
      <c r="L50" s="826" t="s">
        <v>861</v>
      </c>
      <c r="M50" s="247"/>
      <c r="N50" s="247"/>
      <c r="O50" s="247"/>
      <c r="P50" s="247"/>
      <c r="Q50" s="247"/>
      <c r="R50" s="247"/>
      <c r="S50" s="250"/>
      <c r="U50" s="826" t="s">
        <v>862</v>
      </c>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589</v>
      </c>
      <c r="C51" s="881" t="s">
        <v>437</v>
      </c>
      <c r="D51" s="882"/>
      <c r="E51" s="880" t="s">
        <v>590</v>
      </c>
      <c r="F51" s="880" t="s">
        <v>591</v>
      </c>
      <c r="G51" s="880" t="s">
        <v>592</v>
      </c>
      <c r="H51" s="881" t="s">
        <v>593</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v>2340.0</v>
      </c>
      <c r="C52" s="885" t="s">
        <v>529</v>
      </c>
      <c r="D52" s="882"/>
      <c r="E52" s="949">
        <v>46057.0</v>
      </c>
      <c r="F52" s="899" t="s">
        <v>863</v>
      </c>
      <c r="G52" s="899" t="s">
        <v>740</v>
      </c>
      <c r="H52" s="900" t="s">
        <v>90</v>
      </c>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v>2345.0</v>
      </c>
      <c r="C53" s="885" t="s">
        <v>864</v>
      </c>
      <c r="D53" s="882"/>
      <c r="E53" s="949">
        <v>46065.0</v>
      </c>
      <c r="F53" s="899" t="s">
        <v>865</v>
      </c>
      <c r="G53" s="899" t="s">
        <v>740</v>
      </c>
      <c r="H53" s="900" t="s">
        <v>89</v>
      </c>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594</v>
      </c>
      <c r="M63" s="232"/>
      <c r="N63" s="232"/>
      <c r="O63" s="232"/>
      <c r="P63" s="232"/>
      <c r="Q63" s="232"/>
      <c r="R63" s="232"/>
      <c r="S63" s="3"/>
      <c r="T63" s="820" t="s">
        <v>564</v>
      </c>
      <c r="U63" s="821" t="s">
        <v>595</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596</v>
      </c>
      <c r="C64" s="902"/>
      <c r="D64" s="896">
        <f>COUNTA(C66:D76)</f>
        <v>1</v>
      </c>
      <c r="E64" s="859"/>
      <c r="F64" s="859"/>
      <c r="G64" s="859"/>
      <c r="H64" s="859"/>
      <c r="I64" s="859"/>
      <c r="J64" s="798"/>
      <c r="K64" s="797"/>
      <c r="L64" s="826" t="s">
        <v>866</v>
      </c>
      <c r="M64" s="247"/>
      <c r="N64" s="247"/>
      <c r="O64" s="247"/>
      <c r="P64" s="247"/>
      <c r="Q64" s="247"/>
      <c r="R64" s="247"/>
      <c r="S64" s="250"/>
      <c r="U64" s="826" t="s">
        <v>867</v>
      </c>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589</v>
      </c>
      <c r="C65" s="881" t="s">
        <v>437</v>
      </c>
      <c r="D65" s="882"/>
      <c r="E65" s="880" t="s">
        <v>597</v>
      </c>
      <c r="F65" s="881" t="s">
        <v>598</v>
      </c>
      <c r="G65" s="882"/>
      <c r="H65" s="881" t="s">
        <v>593</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933">
        <v>1587.0</v>
      </c>
      <c r="C66" s="885" t="s">
        <v>120</v>
      </c>
      <c r="D66" s="882"/>
      <c r="E66" s="934">
        <v>46081.0</v>
      </c>
      <c r="F66" s="931" t="s">
        <v>868</v>
      </c>
      <c r="G66" s="882"/>
      <c r="H66" s="904" t="s">
        <v>90</v>
      </c>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599</v>
      </c>
      <c r="M77" s="232"/>
      <c r="N77" s="232"/>
      <c r="O77" s="232"/>
      <c r="P77" s="232"/>
      <c r="Q77" s="232"/>
      <c r="R77" s="232"/>
      <c r="S77" s="3"/>
      <c r="T77" s="813"/>
      <c r="U77" s="905" t="s">
        <v>600</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t="s">
        <v>869</v>
      </c>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601</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935" t="s">
        <v>870</v>
      </c>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53.2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871</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872</v>
      </c>
      <c r="K4" s="200"/>
      <c r="L4" s="200"/>
      <c r="M4" s="200"/>
      <c r="N4" s="200"/>
      <c r="O4" s="200"/>
      <c r="P4" s="200"/>
      <c r="Q4" s="200"/>
      <c r="R4" s="200"/>
      <c r="S4" s="200"/>
      <c r="T4" s="200"/>
      <c r="U4" s="200"/>
      <c r="V4" s="200"/>
      <c r="W4" s="200"/>
      <c r="X4" s="200"/>
      <c r="Y4" s="200"/>
      <c r="Z4" s="200"/>
      <c r="AA4" s="200"/>
      <c r="AB4" s="200"/>
      <c r="AC4" s="200"/>
    </row>
    <row r="5">
      <c r="A5" s="200"/>
      <c r="B5" s="953" t="s">
        <v>873</v>
      </c>
      <c r="C5" s="953" t="s">
        <v>874</v>
      </c>
      <c r="D5" s="953" t="s">
        <v>96</v>
      </c>
      <c r="E5" s="953" t="s">
        <v>562</v>
      </c>
      <c r="F5" s="953" t="s">
        <v>875</v>
      </c>
      <c r="G5" s="954" t="s">
        <v>876</v>
      </c>
      <c r="H5" s="953" t="s">
        <v>877</v>
      </c>
      <c r="I5" s="953" t="s">
        <v>878</v>
      </c>
      <c r="J5" s="953" t="s">
        <v>879</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880</v>
      </c>
      <c r="F6" s="957"/>
      <c r="G6" s="958" t="s">
        <v>881</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882</v>
      </c>
      <c r="F7" s="959"/>
      <c r="G7" s="958" t="s">
        <v>883</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884</v>
      </c>
      <c r="F8" s="960"/>
      <c r="G8" s="958" t="s">
        <v>885</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886</v>
      </c>
      <c r="F9" s="961"/>
      <c r="G9" s="958" t="s">
        <v>887</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888</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889</v>
      </c>
      <c r="F17" s="964"/>
      <c r="G17" s="958" t="s">
        <v>888</v>
      </c>
      <c r="H17" s="172" t="s">
        <v>890</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891</v>
      </c>
      <c r="F18" s="964"/>
      <c r="G18" s="958" t="s">
        <v>888</v>
      </c>
      <c r="H18" s="172" t="s">
        <v>892</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893</v>
      </c>
      <c r="F19" s="964"/>
      <c r="G19" s="958" t="s">
        <v>888</v>
      </c>
      <c r="H19" s="172" t="s">
        <v>894</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895</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890</v>
      </c>
      <c r="F24" s="965"/>
      <c r="G24" s="958" t="s">
        <v>895</v>
      </c>
      <c r="H24" s="172" t="s">
        <v>896</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897</v>
      </c>
      <c r="F25" s="965"/>
      <c r="G25" s="958" t="s">
        <v>895</v>
      </c>
      <c r="H25" s="172" t="s">
        <v>892</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898</v>
      </c>
      <c r="F26" s="965"/>
      <c r="G26" s="958" t="s">
        <v>895</v>
      </c>
      <c r="H26" s="172" t="s">
        <v>894</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888</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896</v>
      </c>
      <c r="F31" s="964"/>
      <c r="G31" s="958" t="s">
        <v>888</v>
      </c>
      <c r="H31" s="172" t="s">
        <v>899</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900</v>
      </c>
      <c r="F32" s="964"/>
      <c r="G32" s="958" t="s">
        <v>888</v>
      </c>
      <c r="H32" s="172" t="s">
        <v>892</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901</v>
      </c>
      <c r="F33" s="964"/>
      <c r="G33" s="958" t="s">
        <v>888</v>
      </c>
      <c r="H33" s="172" t="s">
        <v>894</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895</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899</v>
      </c>
      <c r="F38" s="965"/>
      <c r="G38" s="958" t="s">
        <v>895</v>
      </c>
      <c r="H38" s="172" t="s">
        <v>902</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903</v>
      </c>
      <c r="F39" s="965"/>
      <c r="G39" s="958" t="s">
        <v>895</v>
      </c>
      <c r="H39" s="172" t="s">
        <v>892</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904</v>
      </c>
      <c r="F40" s="965"/>
      <c r="G40" s="958" t="s">
        <v>895</v>
      </c>
      <c r="H40" s="172" t="s">
        <v>894</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888</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902</v>
      </c>
      <c r="F45" s="964"/>
      <c r="G45" s="958" t="s">
        <v>888</v>
      </c>
      <c r="H45" s="172" t="s">
        <v>905</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906</v>
      </c>
      <c r="F46" s="964"/>
      <c r="G46" s="958" t="s">
        <v>888</v>
      </c>
      <c r="H46" s="172" t="s">
        <v>892</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907</v>
      </c>
      <c r="F47" s="964"/>
      <c r="G47" s="958" t="s">
        <v>888</v>
      </c>
      <c r="H47" s="172" t="s">
        <v>894</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895</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905</v>
      </c>
      <c r="F52" s="965"/>
      <c r="G52" s="958" t="s">
        <v>895</v>
      </c>
      <c r="H52" s="172" t="s">
        <v>908</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909</v>
      </c>
      <c r="F53" s="965"/>
      <c r="G53" s="958" t="s">
        <v>895</v>
      </c>
      <c r="H53" s="172" t="s">
        <v>892</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910</v>
      </c>
      <c r="F54" s="965"/>
      <c r="G54" s="958" t="s">
        <v>895</v>
      </c>
      <c r="H54" s="172" t="s">
        <v>894</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888</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908</v>
      </c>
      <c r="F59" s="964"/>
      <c r="G59" s="958" t="s">
        <v>888</v>
      </c>
      <c r="H59" s="172" t="s">
        <v>911</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912</v>
      </c>
      <c r="F60" s="964"/>
      <c r="G60" s="958" t="s">
        <v>888</v>
      </c>
      <c r="H60" s="172" t="s">
        <v>892</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913</v>
      </c>
      <c r="F61" s="964"/>
      <c r="G61" s="958" t="s">
        <v>888</v>
      </c>
      <c r="H61" s="172" t="s">
        <v>894</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895</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911</v>
      </c>
      <c r="F66" s="965"/>
      <c r="G66" s="958" t="s">
        <v>895</v>
      </c>
      <c r="H66" s="172" t="s">
        <v>914</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915</v>
      </c>
      <c r="F67" s="965"/>
      <c r="G67" s="958" t="s">
        <v>895</v>
      </c>
      <c r="H67" s="172" t="s">
        <v>892</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916</v>
      </c>
      <c r="F68" s="965"/>
      <c r="G68" s="958" t="s">
        <v>895</v>
      </c>
      <c r="H68" s="172" t="s">
        <v>894</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888</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914</v>
      </c>
      <c r="F73" s="964"/>
      <c r="G73" s="958" t="s">
        <v>888</v>
      </c>
      <c r="H73" s="172" t="s">
        <v>917</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918</v>
      </c>
      <c r="F74" s="964"/>
      <c r="G74" s="958" t="s">
        <v>888</v>
      </c>
      <c r="H74" s="172" t="s">
        <v>892</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919</v>
      </c>
      <c r="F75" s="964"/>
      <c r="G75" s="958" t="s">
        <v>888</v>
      </c>
      <c r="H75" s="172" t="s">
        <v>894</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895</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917</v>
      </c>
      <c r="F80" s="965"/>
      <c r="G80" s="958" t="s">
        <v>895</v>
      </c>
      <c r="H80" s="172" t="s">
        <v>920</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921</v>
      </c>
      <c r="F81" s="965"/>
      <c r="G81" s="958" t="s">
        <v>895</v>
      </c>
      <c r="H81" s="172" t="s">
        <v>892</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922</v>
      </c>
      <c r="F82" s="965"/>
      <c r="G82" s="958" t="s">
        <v>895</v>
      </c>
      <c r="H82" s="172" t="s">
        <v>894</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888</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920</v>
      </c>
      <c r="F87" s="964"/>
      <c r="G87" s="958" t="s">
        <v>888</v>
      </c>
      <c r="H87" s="172" t="s">
        <v>923</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924</v>
      </c>
      <c r="F88" s="964"/>
      <c r="G88" s="958" t="s">
        <v>888</v>
      </c>
      <c r="H88" s="172" t="s">
        <v>892</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925</v>
      </c>
      <c r="F89" s="964"/>
      <c r="G89" s="958" t="s">
        <v>888</v>
      </c>
      <c r="H89" s="172" t="s">
        <v>894</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895</v>
      </c>
      <c r="H93" s="172" t="s">
        <v>926</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923</v>
      </c>
      <c r="F94" s="965"/>
      <c r="G94" s="958" t="s">
        <v>895</v>
      </c>
      <c r="H94" s="172" t="s">
        <v>927</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928</v>
      </c>
      <c r="F95" s="965"/>
      <c r="G95" s="958" t="s">
        <v>895</v>
      </c>
      <c r="H95" s="172" t="s">
        <v>892</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929</v>
      </c>
      <c r="F96" s="965"/>
      <c r="G96" s="958" t="s">
        <v>895</v>
      </c>
      <c r="H96" s="172" t="s">
        <v>894</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930</v>
      </c>
      <c r="F102" s="967"/>
      <c r="G102" s="958" t="s">
        <v>931</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932</v>
      </c>
      <c r="F103" s="968"/>
      <c r="G103" s="958" t="s">
        <v>933</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934</v>
      </c>
      <c r="F104" s="969"/>
      <c r="G104" s="958" t="s">
        <v>935</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936</v>
      </c>
      <c r="F105" s="970"/>
      <c r="G105" s="958" t="s">
        <v>937</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926</v>
      </c>
      <c r="F106" s="971"/>
      <c r="G106" s="958" t="s">
        <v>938</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927</v>
      </c>
      <c r="F107" s="971"/>
      <c r="G107" s="958" t="s">
        <v>938</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892</v>
      </c>
      <c r="F108" s="971"/>
      <c r="G108" s="958" t="s">
        <v>938</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894</v>
      </c>
      <c r="F109" s="971"/>
      <c r="G109" s="958" t="s">
        <v>938</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939</v>
      </c>
      <c r="B1" s="6"/>
      <c r="C1" s="6"/>
      <c r="D1" s="6"/>
      <c r="E1" s="6"/>
      <c r="F1" s="6"/>
      <c r="G1" s="6"/>
      <c r="H1" s="6"/>
      <c r="I1" s="975"/>
      <c r="J1" s="976" t="s">
        <v>940</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940</v>
      </c>
      <c r="B2" s="981" t="s">
        <v>51</v>
      </c>
      <c r="C2" s="981" t="s">
        <v>277</v>
      </c>
      <c r="D2" s="982" t="s">
        <v>941</v>
      </c>
      <c r="E2" s="980" t="s">
        <v>278</v>
      </c>
      <c r="F2" s="980" t="s">
        <v>283</v>
      </c>
      <c r="G2" s="980" t="s">
        <v>275</v>
      </c>
      <c r="H2" s="980" t="s">
        <v>942</v>
      </c>
      <c r="I2" s="983"/>
      <c r="J2" s="984" t="s">
        <v>943</v>
      </c>
      <c r="K2" s="985">
        <f>DAY(EOMONTH(K1,0))</f>
        <v>28</v>
      </c>
      <c r="L2" s="986" t="s">
        <v>944</v>
      </c>
      <c r="M2" s="986" t="s">
        <v>277</v>
      </c>
      <c r="N2" s="986" t="s">
        <v>296</v>
      </c>
      <c r="O2" s="986" t="s">
        <v>298</v>
      </c>
      <c r="P2" s="986" t="s">
        <v>298</v>
      </c>
      <c r="Q2" s="986" t="s">
        <v>945</v>
      </c>
      <c r="R2" s="984" t="s">
        <v>946</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947</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948</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0.875</v>
      </c>
      <c r="D5" s="989">
        <f t="shared" si="4"/>
        <v>33</v>
      </c>
      <c r="E5" s="990">
        <f t="shared" ref="E5:H5" si="7">xlookup($B5,$L:$L,O:O)</f>
        <v>4650112.5</v>
      </c>
      <c r="F5" s="990">
        <f t="shared" si="7"/>
        <v>1253525.178</v>
      </c>
      <c r="G5" s="991">
        <f t="shared" si="7"/>
        <v>0.2695687853</v>
      </c>
      <c r="H5" s="991">
        <f t="shared" si="7"/>
        <v>0.5406361975</v>
      </c>
      <c r="I5" s="983"/>
      <c r="J5" s="984" t="s">
        <v>949</v>
      </c>
      <c r="K5" s="999">
        <v>535000.0</v>
      </c>
      <c r="L5" s="1000" t="s">
        <v>950</v>
      </c>
      <c r="M5" s="3"/>
      <c r="N5" s="987">
        <v>22.926</v>
      </c>
      <c r="O5" s="987">
        <v>28.78</v>
      </c>
      <c r="P5" s="994"/>
      <c r="Q5" s="1001"/>
      <c r="R5" s="984" t="s">
        <v>951</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952</v>
      </c>
      <c r="K6" s="1004">
        <v>1300.0</v>
      </c>
      <c r="L6" s="1005" t="s">
        <v>953</v>
      </c>
      <c r="M6" s="3"/>
      <c r="N6" s="993">
        <f t="shared" ref="N6:O6" si="9">N4/(360/N5)</f>
        <v>5.23477</v>
      </c>
      <c r="O6" s="993">
        <f t="shared" si="9"/>
        <v>1.822733333</v>
      </c>
      <c r="P6" s="1001"/>
      <c r="Q6" s="993">
        <f t="shared" ref="Q6:Q7" si="12">N6+O6+P6</f>
        <v>7.057503333</v>
      </c>
      <c r="R6" s="984" t="s">
        <v>276</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954</v>
      </c>
      <c r="K7" s="1004">
        <v>6.5</v>
      </c>
      <c r="L7" s="1009" t="s">
        <v>955</v>
      </c>
      <c r="M7" s="987">
        <v>1230.0</v>
      </c>
      <c r="N7" s="993">
        <f>N6*(M7*6)</f>
        <v>38632.6026</v>
      </c>
      <c r="O7" s="993">
        <f>O6*(M7*6)</f>
        <v>13451.772</v>
      </c>
      <c r="P7" s="1001"/>
      <c r="Q7" s="993">
        <f t="shared" si="12"/>
        <v>52084.3746</v>
      </c>
      <c r="R7" s="984" t="s">
        <v>956</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957</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958</v>
      </c>
      <c r="K9" s="1004">
        <v>1230.0</v>
      </c>
      <c r="L9" s="1005" t="s">
        <v>959</v>
      </c>
      <c r="M9" s="3"/>
      <c r="N9" s="993">
        <f>Q7+(Q6*K15)</f>
        <v>56318.8766</v>
      </c>
      <c r="O9" s="1001"/>
      <c r="P9" s="1012" t="s">
        <v>960</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961</v>
      </c>
      <c r="K10" s="1004">
        <v>3.0</v>
      </c>
      <c r="L10" s="1005" t="s">
        <v>962</v>
      </c>
      <c r="M10" s="3"/>
      <c r="N10" s="993">
        <f>N9*K2+L3*K21*K2*110+(L3*K2*K16%)*100</f>
        <v>1729073.545</v>
      </c>
      <c r="O10" s="1015"/>
      <c r="P10" s="1016" t="s">
        <v>963</v>
      </c>
      <c r="Q10" s="1017">
        <v>567400.0</v>
      </c>
      <c r="R10" s="984" t="s">
        <v>964</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965</v>
      </c>
      <c r="K11" s="1004">
        <f>K2</f>
        <v>28</v>
      </c>
      <c r="L11" s="1005" t="s">
        <v>966</v>
      </c>
      <c r="M11" s="3"/>
      <c r="N11" s="984" t="s">
        <v>375</v>
      </c>
      <c r="O11" s="1010" t="s">
        <v>349</v>
      </c>
      <c r="P11" s="1018" t="s">
        <v>967</v>
      </c>
      <c r="Q11" s="1019">
        <f>L3*K16%*K2*300</f>
        <v>367500</v>
      </c>
      <c r="R11" s="995" t="s">
        <v>968</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969</v>
      </c>
      <c r="K12" s="1004">
        <v>1230.0</v>
      </c>
      <c r="L12" s="1005" t="s">
        <v>970</v>
      </c>
      <c r="M12" s="3"/>
      <c r="N12" s="998">
        <f t="shared" ref="N12:N13" si="19">K4*1.15</f>
        <v>368000</v>
      </c>
      <c r="O12" s="1020">
        <v>15000.0</v>
      </c>
      <c r="P12" s="1021" t="s">
        <v>971</v>
      </c>
      <c r="Q12" s="1019">
        <f>L3*K17*K2*100</f>
        <v>22050</v>
      </c>
      <c r="R12" s="1022" t="s">
        <v>972</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973</v>
      </c>
      <c r="K13" s="1004">
        <v>5.0</v>
      </c>
      <c r="L13" s="1005" t="s">
        <v>974</v>
      </c>
      <c r="M13" s="3"/>
      <c r="N13" s="998">
        <f t="shared" si="19"/>
        <v>615250</v>
      </c>
      <c r="O13" s="1023">
        <v>30000.0</v>
      </c>
      <c r="P13" s="1018" t="s">
        <v>975</v>
      </c>
      <c r="Q13" s="1024">
        <f>L3*K18*K2*100</f>
        <v>90650</v>
      </c>
      <c r="R13" s="1025" t="s">
        <v>976</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977</v>
      </c>
      <c r="K14" s="1004">
        <v>35.0</v>
      </c>
      <c r="L14" s="1026" t="s">
        <v>978</v>
      </c>
      <c r="M14" s="3"/>
      <c r="N14" s="998">
        <f>(K2*2.5-43.4)*K6*K7</f>
        <v>224770</v>
      </c>
      <c r="O14" s="998">
        <f>(K2*2.5-43.4)*K15</f>
        <v>15960</v>
      </c>
      <c r="P14" s="1018" t="s">
        <v>979</v>
      </c>
      <c r="Q14" s="1019">
        <f>L3*K19*K2*100</f>
        <v>31850</v>
      </c>
      <c r="R14" s="984" t="s">
        <v>964</v>
      </c>
      <c r="S14" s="993">
        <v>60000.0</v>
      </c>
    </row>
    <row r="15">
      <c r="A15" s="1002"/>
      <c r="B15" s="1002"/>
      <c r="C15" s="1002"/>
      <c r="D15" s="1002"/>
      <c r="E15" s="1002"/>
      <c r="F15" s="1002"/>
      <c r="G15" s="1002"/>
      <c r="H15" s="1002"/>
      <c r="I15" s="1002"/>
      <c r="J15" s="1022" t="s">
        <v>980</v>
      </c>
      <c r="K15" s="1027">
        <v>600.0</v>
      </c>
      <c r="L15" s="1000" t="s">
        <v>981</v>
      </c>
      <c r="M15" s="3"/>
      <c r="N15" s="998">
        <f>K9*K10*K11</f>
        <v>103320</v>
      </c>
      <c r="O15" s="998">
        <f>K11*K15</f>
        <v>16800</v>
      </c>
      <c r="P15" s="1021" t="s">
        <v>133</v>
      </c>
      <c r="Q15" s="1019">
        <f>L3*K20*K2*100</f>
        <v>22050</v>
      </c>
      <c r="R15" s="995" t="s">
        <v>968</v>
      </c>
      <c r="S15" s="993">
        <v>20000.0</v>
      </c>
    </row>
    <row r="16">
      <c r="A16" s="1002"/>
      <c r="B16" s="1002"/>
      <c r="C16" s="1002"/>
      <c r="D16" s="1002"/>
      <c r="E16" s="1002"/>
      <c r="F16" s="1002"/>
      <c r="G16" s="1002"/>
      <c r="H16" s="1002"/>
      <c r="I16" s="1002"/>
      <c r="J16" s="1028" t="s">
        <v>982</v>
      </c>
      <c r="K16" s="1029">
        <f>D3</f>
        <v>25</v>
      </c>
      <c r="L16" s="1000" t="s">
        <v>983</v>
      </c>
      <c r="M16" s="3"/>
      <c r="N16" s="998">
        <f>K12*K13*K14</f>
        <v>215250</v>
      </c>
      <c r="O16" s="998">
        <f>K14*K15</f>
        <v>21000</v>
      </c>
      <c r="P16" s="1018" t="s">
        <v>984</v>
      </c>
      <c r="Q16" s="1019">
        <f>L3*K21*K2*250</f>
        <v>67375</v>
      </c>
      <c r="R16" s="1022" t="s">
        <v>972</v>
      </c>
      <c r="S16" s="993">
        <v>19167.0</v>
      </c>
    </row>
    <row r="17">
      <c r="A17" s="983"/>
      <c r="B17" s="983"/>
      <c r="C17" s="983"/>
      <c r="D17" s="983"/>
      <c r="E17" s="983"/>
      <c r="F17" s="983"/>
      <c r="G17" s="983"/>
      <c r="H17" s="983"/>
      <c r="I17" s="983"/>
      <c r="J17" s="984" t="s">
        <v>971</v>
      </c>
      <c r="K17" s="1006">
        <v>0.045</v>
      </c>
      <c r="L17" s="1000" t="s">
        <v>985</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986</v>
      </c>
      <c r="K18" s="1006">
        <v>0.185</v>
      </c>
      <c r="L18" s="975"/>
      <c r="M18" s="975"/>
      <c r="N18" s="975"/>
      <c r="O18" s="975"/>
      <c r="P18" s="975"/>
      <c r="Q18" s="975"/>
      <c r="R18" s="975"/>
      <c r="S18" s="975"/>
    </row>
    <row r="19">
      <c r="A19" s="1002"/>
      <c r="B19" s="1002"/>
      <c r="C19" s="1002"/>
      <c r="D19" s="1002"/>
      <c r="E19" s="1002"/>
      <c r="F19" s="1002"/>
      <c r="G19" s="1002"/>
      <c r="H19" s="1002"/>
      <c r="I19" s="1002"/>
      <c r="J19" s="1022" t="s">
        <v>987</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984</v>
      </c>
      <c r="K21" s="1006">
        <v>0.055</v>
      </c>
      <c r="L21" s="975"/>
      <c r="M21" s="975"/>
      <c r="N21" s="975"/>
      <c r="O21" s="975"/>
      <c r="P21" s="975"/>
      <c r="Q21" s="975"/>
      <c r="R21" s="975"/>
      <c r="S21" s="975"/>
    </row>
    <row r="23">
      <c r="J23" s="976" t="s">
        <v>940</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943</v>
      </c>
      <c r="K24" s="985">
        <f>DAY(EOMONTH(K23,0))</f>
        <v>31</v>
      </c>
      <c r="L24" s="986" t="s">
        <v>944</v>
      </c>
      <c r="M24" s="986" t="s">
        <v>277</v>
      </c>
      <c r="N24" s="986" t="s">
        <v>296</v>
      </c>
      <c r="O24" s="986" t="s">
        <v>298</v>
      </c>
      <c r="P24" s="986" t="s">
        <v>298</v>
      </c>
      <c r="Q24" s="986" t="s">
        <v>945</v>
      </c>
      <c r="R24" s="984" t="s">
        <v>946</v>
      </c>
      <c r="S24" s="987">
        <v>1130.0</v>
      </c>
    </row>
    <row r="25">
      <c r="J25" s="984" t="s">
        <v>277</v>
      </c>
      <c r="K25" s="992">
        <f t="array" ref="K25">xlookup(L23,$B$3:$B$14,$C$3:$C$14)*100</f>
        <v>87.5</v>
      </c>
      <c r="L25" s="993">
        <f>SUM(N25:P25)</f>
        <v>175</v>
      </c>
      <c r="M25" s="993">
        <v>100.0</v>
      </c>
      <c r="N25" s="987">
        <v>137.0</v>
      </c>
      <c r="O25" s="987">
        <v>38.0</v>
      </c>
      <c r="P25" s="994"/>
      <c r="Q25" s="993">
        <f>L25*K24</f>
        <v>5425</v>
      </c>
      <c r="R25" s="995" t="s">
        <v>947</v>
      </c>
      <c r="S25" s="996">
        <f>Q39</f>
        <v>1383212.5</v>
      </c>
    </row>
    <row r="26">
      <c r="J26" s="984" t="s">
        <v>948</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949</v>
      </c>
      <c r="K27" s="999">
        <f>270000+(370000/22*9)</f>
        <v>421363.6364</v>
      </c>
      <c r="L27" s="1000" t="s">
        <v>950</v>
      </c>
      <c r="M27" s="3"/>
      <c r="N27" s="987">
        <v>22.926</v>
      </c>
      <c r="O27" s="987">
        <v>28.78</v>
      </c>
      <c r="P27" s="994"/>
      <c r="Q27" s="1001"/>
      <c r="R27" s="984" t="s">
        <v>951</v>
      </c>
      <c r="S27" s="993">
        <f>N32+SUM(N36:O38)+S39</f>
        <v>2716384.752</v>
      </c>
    </row>
    <row r="28">
      <c r="J28" s="1003" t="s">
        <v>952</v>
      </c>
      <c r="K28" s="1004">
        <v>1300.0</v>
      </c>
      <c r="L28" s="1005" t="s">
        <v>953</v>
      </c>
      <c r="M28" s="3"/>
      <c r="N28" s="993">
        <f t="shared" ref="N28:O28" si="21">N26/(360/N27)</f>
        <v>5.060277667</v>
      </c>
      <c r="O28" s="993">
        <f t="shared" si="21"/>
        <v>1.761975556</v>
      </c>
      <c r="P28" s="1001"/>
      <c r="Q28" s="993">
        <f t="shared" ref="Q28:Q29" si="22">N28+O28+P28</f>
        <v>6.822253222</v>
      </c>
      <c r="R28" s="984" t="s">
        <v>276</v>
      </c>
      <c r="S28" s="1006">
        <f>S27/S26</f>
        <v>0.5500137944</v>
      </c>
    </row>
    <row r="29">
      <c r="J29" s="1008" t="s">
        <v>954</v>
      </c>
      <c r="K29" s="1004">
        <v>6.5</v>
      </c>
      <c r="L29" s="1009" t="s">
        <v>955</v>
      </c>
      <c r="M29" s="987">
        <v>1230.0</v>
      </c>
      <c r="N29" s="993">
        <f>N28*(M29*6)</f>
        <v>37344.84918</v>
      </c>
      <c r="O29" s="993">
        <f>O28*(M29*6)</f>
        <v>13003.3796</v>
      </c>
      <c r="P29" s="1001"/>
      <c r="Q29" s="993">
        <f t="shared" si="22"/>
        <v>50348.22878</v>
      </c>
      <c r="R29" s="984" t="s">
        <v>956</v>
      </c>
      <c r="S29" s="996">
        <f>S26-S27-N39</f>
        <v>1339804.566</v>
      </c>
    </row>
    <row r="30">
      <c r="J30" s="1010" t="s">
        <v>957</v>
      </c>
      <c r="K30" s="994"/>
      <c r="L30" s="1011"/>
      <c r="M30" s="1001"/>
      <c r="N30" s="1001"/>
      <c r="O30" s="1001"/>
      <c r="P30" s="1001"/>
      <c r="Q30" s="1001"/>
      <c r="R30" s="984" t="s">
        <v>275</v>
      </c>
      <c r="S30" s="1006">
        <f>S29/S26</f>
        <v>0.271283732</v>
      </c>
    </row>
    <row r="31">
      <c r="J31" s="1003" t="s">
        <v>958</v>
      </c>
      <c r="K31" s="1004">
        <v>1230.0</v>
      </c>
      <c r="L31" s="1005" t="s">
        <v>959</v>
      </c>
      <c r="M31" s="3"/>
      <c r="N31" s="993">
        <f>Q29+(Q28*K37)</f>
        <v>54441.58071</v>
      </c>
      <c r="O31" s="1001"/>
      <c r="P31" s="1012" t="s">
        <v>960</v>
      </c>
      <c r="Q31" s="232"/>
      <c r="R31" s="232"/>
      <c r="S31" s="3"/>
    </row>
    <row r="32">
      <c r="J32" s="1014" t="s">
        <v>961</v>
      </c>
      <c r="K32" s="1004">
        <v>3.0</v>
      </c>
      <c r="L32" s="1005" t="s">
        <v>962</v>
      </c>
      <c r="M32" s="3"/>
      <c r="N32" s="993">
        <f>N31*K24+L25*K43*K24*110+(L25*K24*K38%)*100</f>
        <v>1880547.752</v>
      </c>
      <c r="O32" s="1015"/>
      <c r="P32" s="1016" t="s">
        <v>963</v>
      </c>
      <c r="Q32" s="1017">
        <v>567400.0</v>
      </c>
      <c r="R32" s="984" t="s">
        <v>964</v>
      </c>
      <c r="S32" s="998">
        <v>100000.0</v>
      </c>
    </row>
    <row r="33">
      <c r="J33" s="1014" t="s">
        <v>965</v>
      </c>
      <c r="K33" s="1004">
        <f>K24</f>
        <v>31</v>
      </c>
      <c r="L33" s="1005" t="s">
        <v>966</v>
      </c>
      <c r="M33" s="3"/>
      <c r="N33" s="984" t="s">
        <v>375</v>
      </c>
      <c r="O33" s="1010" t="s">
        <v>349</v>
      </c>
      <c r="P33" s="1018" t="s">
        <v>967</v>
      </c>
      <c r="Q33" s="1019">
        <f>L25*K38%*K24*300</f>
        <v>480112.5</v>
      </c>
      <c r="R33" s="995" t="s">
        <v>968</v>
      </c>
      <c r="S33" s="993">
        <v>26250.0</v>
      </c>
    </row>
    <row r="34">
      <c r="J34" s="1003" t="s">
        <v>969</v>
      </c>
      <c r="K34" s="1004">
        <v>1230.0</v>
      </c>
      <c r="L34" s="1005" t="s">
        <v>970</v>
      </c>
      <c r="M34" s="3"/>
      <c r="N34" s="998">
        <f t="shared" ref="N34:N35" si="23">K26*1.15</f>
        <v>368000</v>
      </c>
      <c r="O34" s="1020">
        <v>15000.0</v>
      </c>
      <c r="P34" s="1021" t="s">
        <v>971</v>
      </c>
      <c r="Q34" s="1019">
        <f>L25*K39*K24*100</f>
        <v>24412.5</v>
      </c>
      <c r="R34" s="1022" t="s">
        <v>972</v>
      </c>
      <c r="S34" s="993">
        <v>25000.0</v>
      </c>
    </row>
    <row r="35">
      <c r="J35" s="1003" t="s">
        <v>973</v>
      </c>
      <c r="K35" s="1004">
        <v>5.0</v>
      </c>
      <c r="L35" s="1005" t="s">
        <v>974</v>
      </c>
      <c r="M35" s="3"/>
      <c r="N35" s="998">
        <f t="shared" si="23"/>
        <v>484568.1818</v>
      </c>
      <c r="O35" s="998">
        <v>15000.0</v>
      </c>
      <c r="P35" s="1018" t="s">
        <v>975</v>
      </c>
      <c r="Q35" s="1024">
        <f>L25*K40*K24*100</f>
        <v>100362.5</v>
      </c>
      <c r="R35" s="1025" t="s">
        <v>976</v>
      </c>
      <c r="S35" s="3"/>
    </row>
    <row r="36">
      <c r="J36" s="1003" t="s">
        <v>977</v>
      </c>
      <c r="K36" s="1004">
        <v>35.0</v>
      </c>
      <c r="L36" s="1026" t="s">
        <v>978</v>
      </c>
      <c r="M36" s="3"/>
      <c r="N36" s="998">
        <f>(K24*3-52.4)*K28*K29</f>
        <v>343070</v>
      </c>
      <c r="O36" s="998">
        <f>(K24*3-52.4)*K37</f>
        <v>24360</v>
      </c>
      <c r="P36" s="1018" t="s">
        <v>979</v>
      </c>
      <c r="Q36" s="1019">
        <f>L25*K41*K24*100</f>
        <v>35262.5</v>
      </c>
      <c r="R36" s="984" t="s">
        <v>964</v>
      </c>
      <c r="S36" s="993">
        <v>60000.0</v>
      </c>
    </row>
    <row r="37">
      <c r="J37" s="1022" t="s">
        <v>980</v>
      </c>
      <c r="K37" s="1027">
        <v>600.0</v>
      </c>
      <c r="L37" s="1000" t="s">
        <v>981</v>
      </c>
      <c r="M37" s="3"/>
      <c r="N37" s="998">
        <f>K31*K32*K33</f>
        <v>114390</v>
      </c>
      <c r="O37" s="998">
        <f>K33*K37</f>
        <v>18600</v>
      </c>
      <c r="P37" s="1021" t="s">
        <v>133</v>
      </c>
      <c r="Q37" s="1019">
        <f>L25*K42*K24*100</f>
        <v>24412.5</v>
      </c>
      <c r="R37" s="995" t="s">
        <v>968</v>
      </c>
      <c r="S37" s="993">
        <v>20000.0</v>
      </c>
    </row>
    <row r="38">
      <c r="J38" s="1028" t="s">
        <v>982</v>
      </c>
      <c r="K38" s="1029">
        <f>D4</f>
        <v>29.5</v>
      </c>
      <c r="L38" s="1031" t="s">
        <v>988</v>
      </c>
      <c r="M38" s="3"/>
      <c r="N38" s="998">
        <f>K34*K35*K36</f>
        <v>215250</v>
      </c>
      <c r="O38" s="998">
        <f>K36*K37</f>
        <v>21000</v>
      </c>
      <c r="P38" s="1018" t="s">
        <v>984</v>
      </c>
      <c r="Q38" s="1019">
        <f>L25*K43*K24*250</f>
        <v>74593.75</v>
      </c>
      <c r="R38" s="1022" t="s">
        <v>972</v>
      </c>
      <c r="S38" s="993">
        <v>19167.0</v>
      </c>
    </row>
    <row r="39">
      <c r="J39" s="984" t="s">
        <v>971</v>
      </c>
      <c r="K39" s="1006">
        <v>0.045</v>
      </c>
      <c r="L39" s="1000" t="s">
        <v>985</v>
      </c>
      <c r="M39" s="3"/>
      <c r="N39" s="998">
        <f>SUM(N34:O35)</f>
        <v>882568.1818</v>
      </c>
      <c r="O39" s="1030"/>
      <c r="P39" s="984" t="s">
        <v>345</v>
      </c>
      <c r="Q39" s="996">
        <f>SUM(Q32:Q37)+SUM(S32:S34)</f>
        <v>1383212.5</v>
      </c>
      <c r="R39" s="984" t="s">
        <v>345</v>
      </c>
      <c r="S39" s="993">
        <f>S36+S37+S38</f>
        <v>99167</v>
      </c>
    </row>
    <row r="40">
      <c r="J40" s="1022" t="s">
        <v>986</v>
      </c>
      <c r="K40" s="1006">
        <v>0.185</v>
      </c>
      <c r="L40" s="975"/>
      <c r="M40" s="975"/>
      <c r="N40" s="975"/>
      <c r="O40" s="975"/>
      <c r="P40" s="975"/>
      <c r="Q40" s="975"/>
      <c r="R40" s="975"/>
      <c r="S40" s="975"/>
    </row>
    <row r="41">
      <c r="J41" s="1022" t="s">
        <v>987</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984</v>
      </c>
      <c r="K43" s="1006">
        <v>0.055</v>
      </c>
      <c r="L43" s="975"/>
      <c r="M43" s="975"/>
      <c r="N43" s="975"/>
      <c r="O43" s="975"/>
      <c r="P43" s="975"/>
      <c r="Q43" s="975"/>
      <c r="R43" s="975"/>
      <c r="S43" s="975"/>
    </row>
    <row r="45">
      <c r="J45" s="976" t="s">
        <v>940</v>
      </c>
      <c r="K45" s="977">
        <f>A5</f>
        <v>46113</v>
      </c>
      <c r="L45" s="976" t="str">
        <f>"①R"&amp;year(K45)-2018&amp;"_"&amp;month(K45)&amp;"集計"</f>
        <v>①R8_4集計</v>
      </c>
      <c r="M45" s="6"/>
      <c r="N45" s="6"/>
      <c r="O45" s="978">
        <f>S48</f>
        <v>4650112.5</v>
      </c>
      <c r="P45" s="978">
        <f>S51</f>
        <v>1253525.178</v>
      </c>
      <c r="Q45" s="979">
        <f>S52</f>
        <v>0.2695687853</v>
      </c>
      <c r="R45" s="979">
        <f>S50</f>
        <v>0.5406361975</v>
      </c>
      <c r="S45" s="975"/>
    </row>
    <row r="46">
      <c r="J46" s="984" t="s">
        <v>943</v>
      </c>
      <c r="K46" s="985">
        <f>DAY(EOMONTH(K45,0))</f>
        <v>30</v>
      </c>
      <c r="L46" s="986" t="s">
        <v>944</v>
      </c>
      <c r="M46" s="986" t="s">
        <v>277</v>
      </c>
      <c r="N46" s="986" t="s">
        <v>296</v>
      </c>
      <c r="O46" s="986" t="s">
        <v>298</v>
      </c>
      <c r="P46" s="986" t="s">
        <v>298</v>
      </c>
      <c r="Q46" s="986" t="s">
        <v>945</v>
      </c>
      <c r="R46" s="984" t="s">
        <v>946</v>
      </c>
      <c r="S46" s="987">
        <v>1130.0</v>
      </c>
    </row>
    <row r="47">
      <c r="J47" s="984" t="s">
        <v>277</v>
      </c>
      <c r="K47" s="992">
        <f t="array" ref="K47">xlookup(L45,$B$3:$B$14,$C$3:$C$14)*100</f>
        <v>87.5</v>
      </c>
      <c r="L47" s="993">
        <f>SUM(N47:P47)</f>
        <v>175</v>
      </c>
      <c r="M47" s="993">
        <v>100.0</v>
      </c>
      <c r="N47" s="987">
        <v>137.0</v>
      </c>
      <c r="O47" s="987">
        <v>38.0</v>
      </c>
      <c r="P47" s="994"/>
      <c r="Q47" s="993">
        <f>L47*K46</f>
        <v>5250</v>
      </c>
      <c r="R47" s="995" t="s">
        <v>947</v>
      </c>
      <c r="S47" s="996">
        <f>Q61</f>
        <v>1416900</v>
      </c>
    </row>
    <row r="48">
      <c r="J48" s="984" t="s">
        <v>948</v>
      </c>
      <c r="K48" s="987">
        <v>320000.0</v>
      </c>
      <c r="L48" s="993">
        <f>L47*M48%</f>
        <v>95.375</v>
      </c>
      <c r="M48" s="998">
        <f>K47-K60</f>
        <v>54.5</v>
      </c>
      <c r="N48" s="993">
        <f>N47*M48%</f>
        <v>74.665</v>
      </c>
      <c r="O48" s="993">
        <f>O47*M48%</f>
        <v>20.71</v>
      </c>
      <c r="P48" s="993">
        <f>P47*M48%</f>
        <v>0</v>
      </c>
      <c r="Q48" s="993">
        <f>L48*K46</f>
        <v>2861.25</v>
      </c>
      <c r="R48" s="984" t="s">
        <v>278</v>
      </c>
      <c r="S48" s="996">
        <f>S46*Q48+S47</f>
        <v>4650112.5</v>
      </c>
    </row>
    <row r="49">
      <c r="J49" s="984" t="s">
        <v>949</v>
      </c>
      <c r="K49" s="999">
        <f>270000+(370000/22*9)</f>
        <v>421363.6364</v>
      </c>
      <c r="L49" s="1000" t="s">
        <v>950</v>
      </c>
      <c r="M49" s="3"/>
      <c r="N49" s="1032">
        <v>23.9</v>
      </c>
      <c r="O49" s="1032">
        <v>29.75</v>
      </c>
      <c r="P49" s="994"/>
      <c r="Q49" s="1001"/>
      <c r="R49" s="984" t="s">
        <v>951</v>
      </c>
      <c r="S49" s="993">
        <f>N54+SUM(N58:O60)+S61</f>
        <v>2514019.14</v>
      </c>
    </row>
    <row r="50">
      <c r="J50" s="1003" t="s">
        <v>952</v>
      </c>
      <c r="K50" s="1004">
        <v>1300.0</v>
      </c>
      <c r="L50" s="1005" t="s">
        <v>953</v>
      </c>
      <c r="M50" s="3"/>
      <c r="N50" s="993">
        <f t="shared" ref="N50:O50" si="24">N48/(360/N49)</f>
        <v>4.956926389</v>
      </c>
      <c r="O50" s="993">
        <f t="shared" si="24"/>
        <v>1.711451389</v>
      </c>
      <c r="P50" s="1001"/>
      <c r="Q50" s="993">
        <f t="shared" ref="Q50:Q51" si="25">N50+O50+P50</f>
        <v>6.668377778</v>
      </c>
      <c r="R50" s="984" t="s">
        <v>276</v>
      </c>
      <c r="S50" s="1006">
        <f>S49/S48</f>
        <v>0.5406361975</v>
      </c>
    </row>
    <row r="51">
      <c r="J51" s="1008" t="s">
        <v>954</v>
      </c>
      <c r="K51" s="1004">
        <v>6.5</v>
      </c>
      <c r="L51" s="1009" t="s">
        <v>955</v>
      </c>
      <c r="M51" s="987">
        <v>1230.0</v>
      </c>
      <c r="N51" s="993">
        <f>N50*(M51*6)</f>
        <v>36582.11675</v>
      </c>
      <c r="O51" s="993">
        <f>O50*(M51*6)</f>
        <v>12630.51125</v>
      </c>
      <c r="P51" s="1001"/>
      <c r="Q51" s="993">
        <f t="shared" si="25"/>
        <v>49212.628</v>
      </c>
      <c r="R51" s="984" t="s">
        <v>956</v>
      </c>
      <c r="S51" s="996">
        <f>S48-S49-N61</f>
        <v>1253525.178</v>
      </c>
    </row>
    <row r="52">
      <c r="J52" s="1010" t="s">
        <v>957</v>
      </c>
      <c r="K52" s="994"/>
      <c r="L52" s="1011"/>
      <c r="M52" s="1001"/>
      <c r="N52" s="1001"/>
      <c r="O52" s="1001"/>
      <c r="P52" s="1001"/>
      <c r="Q52" s="1001"/>
      <c r="R52" s="984" t="s">
        <v>275</v>
      </c>
      <c r="S52" s="1006">
        <f>S51/S48</f>
        <v>0.2695687853</v>
      </c>
    </row>
    <row r="53">
      <c r="J53" s="1003" t="s">
        <v>958</v>
      </c>
      <c r="K53" s="1004">
        <v>1230.0</v>
      </c>
      <c r="L53" s="1005" t="s">
        <v>959</v>
      </c>
      <c r="M53" s="3"/>
      <c r="N53" s="993">
        <f>Q51+(Q50*K59)</f>
        <v>53213.65467</v>
      </c>
      <c r="O53" s="1001"/>
      <c r="P53" s="1012" t="s">
        <v>960</v>
      </c>
      <c r="Q53" s="232"/>
      <c r="R53" s="232"/>
      <c r="S53" s="3"/>
    </row>
    <row r="54">
      <c r="J54" s="1014" t="s">
        <v>961</v>
      </c>
      <c r="K54" s="1004">
        <v>3.0</v>
      </c>
      <c r="L54" s="1005" t="s">
        <v>962</v>
      </c>
      <c r="M54" s="3"/>
      <c r="N54" s="993">
        <f>N53*K46+L47*K65*K46*110</f>
        <v>1628172.14</v>
      </c>
      <c r="O54" s="1015"/>
      <c r="P54" s="1016" t="s">
        <v>963</v>
      </c>
      <c r="Q54" s="1017">
        <v>567400.0</v>
      </c>
      <c r="R54" s="984" t="s">
        <v>964</v>
      </c>
      <c r="S54" s="998">
        <v>100000.0</v>
      </c>
    </row>
    <row r="55">
      <c r="J55" s="1014" t="s">
        <v>965</v>
      </c>
      <c r="K55" s="1004">
        <f>K46</f>
        <v>30</v>
      </c>
      <c r="L55" s="1005" t="s">
        <v>966</v>
      </c>
      <c r="M55" s="3"/>
      <c r="N55" s="984" t="s">
        <v>375</v>
      </c>
      <c r="O55" s="1010" t="s">
        <v>349</v>
      </c>
      <c r="P55" s="1018" t="s">
        <v>967</v>
      </c>
      <c r="Q55" s="1019">
        <f>L47*K60%*K46*300</f>
        <v>519750</v>
      </c>
      <c r="R55" s="995" t="s">
        <v>968</v>
      </c>
      <c r="S55" s="993">
        <v>26250.0</v>
      </c>
    </row>
    <row r="56">
      <c r="J56" s="1003" t="s">
        <v>969</v>
      </c>
      <c r="K56" s="1004">
        <v>1230.0</v>
      </c>
      <c r="L56" s="1005" t="s">
        <v>970</v>
      </c>
      <c r="M56" s="3"/>
      <c r="N56" s="998">
        <f t="shared" ref="N56:N57" si="26">K48*1.15</f>
        <v>368000</v>
      </c>
      <c r="O56" s="1020">
        <v>15000.0</v>
      </c>
      <c r="P56" s="1021" t="s">
        <v>971</v>
      </c>
      <c r="Q56" s="1019">
        <f>L47*K61*K46*100</f>
        <v>23625</v>
      </c>
      <c r="R56" s="1022" t="s">
        <v>972</v>
      </c>
      <c r="S56" s="993">
        <v>25000.0</v>
      </c>
    </row>
    <row r="57">
      <c r="J57" s="1003" t="s">
        <v>973</v>
      </c>
      <c r="K57" s="1004">
        <v>5.0</v>
      </c>
      <c r="L57" s="1005" t="s">
        <v>974</v>
      </c>
      <c r="M57" s="3"/>
      <c r="N57" s="998">
        <f t="shared" si="26"/>
        <v>484568.1818</v>
      </c>
      <c r="O57" s="998">
        <v>15000.0</v>
      </c>
      <c r="P57" s="1018" t="s">
        <v>975</v>
      </c>
      <c r="Q57" s="1024">
        <f>L47*K62*K46*100</f>
        <v>97125</v>
      </c>
      <c r="R57" s="1025" t="s">
        <v>976</v>
      </c>
      <c r="S57" s="3"/>
    </row>
    <row r="58">
      <c r="J58" s="1003" t="s">
        <v>977</v>
      </c>
      <c r="K58" s="1004">
        <v>35.0</v>
      </c>
      <c r="L58" s="1026" t="s">
        <v>978</v>
      </c>
      <c r="M58" s="3"/>
      <c r="N58" s="998">
        <f>(K46*3-43.4)*K50*K51</f>
        <v>393770</v>
      </c>
      <c r="O58" s="998">
        <f>(K46*3-43.4)*K59</f>
        <v>27960</v>
      </c>
      <c r="P58" s="1018" t="s">
        <v>979</v>
      </c>
      <c r="Q58" s="1019">
        <f>L47*K63*K46*100</f>
        <v>34125</v>
      </c>
      <c r="R58" s="984" t="s">
        <v>964</v>
      </c>
      <c r="S58" s="993">
        <v>60000.0</v>
      </c>
    </row>
    <row r="59">
      <c r="J59" s="1022" t="s">
        <v>980</v>
      </c>
      <c r="K59" s="1027">
        <v>600.0</v>
      </c>
      <c r="L59" s="1000" t="s">
        <v>981</v>
      </c>
      <c r="M59" s="3"/>
      <c r="N59" s="998">
        <f>K53*K54*K55</f>
        <v>110700</v>
      </c>
      <c r="O59" s="998">
        <f>K55*K59</f>
        <v>18000</v>
      </c>
      <c r="P59" s="1021" t="s">
        <v>133</v>
      </c>
      <c r="Q59" s="1019">
        <f>L47*K64*K46*100</f>
        <v>23625</v>
      </c>
      <c r="R59" s="995" t="s">
        <v>968</v>
      </c>
      <c r="S59" s="993">
        <v>20000.0</v>
      </c>
    </row>
    <row r="60">
      <c r="J60" s="1028" t="s">
        <v>982</v>
      </c>
      <c r="K60" s="1029">
        <f>D5</f>
        <v>33</v>
      </c>
      <c r="L60" s="1000" t="s">
        <v>983</v>
      </c>
      <c r="M60" s="3"/>
      <c r="N60" s="998">
        <f>K56*K57*K58</f>
        <v>215250</v>
      </c>
      <c r="O60" s="998">
        <f>K58*K59</f>
        <v>21000</v>
      </c>
      <c r="P60" s="1018" t="s">
        <v>984</v>
      </c>
      <c r="Q60" s="1019">
        <f>L47*K65*K46*250</f>
        <v>72187.5</v>
      </c>
      <c r="R60" s="1022" t="s">
        <v>972</v>
      </c>
      <c r="S60" s="993">
        <v>19167.0</v>
      </c>
    </row>
    <row r="61">
      <c r="J61" s="984" t="s">
        <v>971</v>
      </c>
      <c r="K61" s="1006">
        <v>0.045</v>
      </c>
      <c r="L61" s="1000" t="s">
        <v>985</v>
      </c>
      <c r="M61" s="3"/>
      <c r="N61" s="998">
        <f>SUM(N56:O57)</f>
        <v>882568.1818</v>
      </c>
      <c r="O61" s="1030"/>
      <c r="P61" s="984" t="s">
        <v>345</v>
      </c>
      <c r="Q61" s="996">
        <f>SUM(Q54:Q59)+SUM(S54:S56)</f>
        <v>1416900</v>
      </c>
      <c r="R61" s="984" t="s">
        <v>345</v>
      </c>
      <c r="S61" s="993">
        <f>S58+S59+S60</f>
        <v>99167</v>
      </c>
    </row>
    <row r="62">
      <c r="J62" s="1022" t="s">
        <v>986</v>
      </c>
      <c r="K62" s="1006">
        <v>0.185</v>
      </c>
      <c r="L62" s="975"/>
      <c r="M62" s="975"/>
      <c r="N62" s="975"/>
      <c r="O62" s="975"/>
      <c r="P62" s="975"/>
      <c r="Q62" s="975"/>
      <c r="R62" s="975"/>
      <c r="S62" s="975"/>
    </row>
    <row r="63">
      <c r="J63" s="1022" t="s">
        <v>987</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984</v>
      </c>
      <c r="K65" s="1006">
        <v>0.055</v>
      </c>
      <c r="L65" s="975"/>
      <c r="M65" s="975"/>
      <c r="N65" s="975"/>
      <c r="O65" s="975"/>
      <c r="P65" s="975"/>
      <c r="Q65" s="975"/>
      <c r="R65" s="975"/>
      <c r="S65" s="975"/>
    </row>
    <row r="67">
      <c r="J67" s="976" t="s">
        <v>940</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943</v>
      </c>
      <c r="K68" s="985">
        <f>DAY(EOMONTH(K67,0))</f>
        <v>31</v>
      </c>
      <c r="L68" s="986" t="s">
        <v>944</v>
      </c>
      <c r="M68" s="986" t="s">
        <v>277</v>
      </c>
      <c r="N68" s="986" t="s">
        <v>296</v>
      </c>
      <c r="O68" s="986" t="s">
        <v>298</v>
      </c>
      <c r="P68" s="986" t="s">
        <v>298</v>
      </c>
      <c r="Q68" s="986" t="s">
        <v>945</v>
      </c>
      <c r="R68" s="984" t="s">
        <v>946</v>
      </c>
      <c r="S68" s="987">
        <v>1130.0</v>
      </c>
    </row>
    <row r="69">
      <c r="J69" s="984" t="s">
        <v>277</v>
      </c>
      <c r="K69" s="992">
        <f t="array" ref="K69">xlookup(L67,$B$3:$B$14,$C$3:$C$14)*100</f>
        <v>0</v>
      </c>
      <c r="L69" s="993">
        <f>SUM(N69:P69)</f>
        <v>175</v>
      </c>
      <c r="M69" s="993">
        <v>100.0</v>
      </c>
      <c r="N69" s="987">
        <v>137.0</v>
      </c>
      <c r="O69" s="987">
        <v>38.0</v>
      </c>
      <c r="P69" s="994"/>
      <c r="Q69" s="993">
        <f>L69*K68</f>
        <v>5425</v>
      </c>
      <c r="R69" s="995" t="s">
        <v>947</v>
      </c>
      <c r="S69" s="996">
        <f>Q83</f>
        <v>1309975</v>
      </c>
    </row>
    <row r="70">
      <c r="J70" s="984" t="s">
        <v>948</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949</v>
      </c>
      <c r="K71" s="1033">
        <v>270000.0</v>
      </c>
      <c r="L71" s="1000" t="s">
        <v>950</v>
      </c>
      <c r="M71" s="3"/>
      <c r="N71" s="1032">
        <v>23.9</v>
      </c>
      <c r="O71" s="1032">
        <v>29.75</v>
      </c>
      <c r="P71" s="994"/>
      <c r="Q71" s="1001"/>
      <c r="R71" s="984" t="s">
        <v>951</v>
      </c>
      <c r="S71" s="993">
        <f>N76+SUM(N80:O82)+S83</f>
        <v>333675.3167</v>
      </c>
    </row>
    <row r="72">
      <c r="J72" s="1003" t="s">
        <v>952</v>
      </c>
      <c r="K72" s="1004">
        <v>1300.0</v>
      </c>
      <c r="L72" s="1005" t="s">
        <v>953</v>
      </c>
      <c r="M72" s="3"/>
      <c r="N72" s="993">
        <f t="shared" ref="N72:O72" si="27">N70/(360/N71)</f>
        <v>-2.273819444</v>
      </c>
      <c r="O72" s="993">
        <f t="shared" si="27"/>
        <v>-0.7850694444</v>
      </c>
      <c r="P72" s="1001"/>
      <c r="Q72" s="993">
        <f t="shared" ref="Q72:Q73" si="28">N72+O72+P72</f>
        <v>-3.058888889</v>
      </c>
      <c r="R72" s="984" t="s">
        <v>276</v>
      </c>
      <c r="S72" s="1006">
        <f>S71/S70</f>
        <v>-1.499074821</v>
      </c>
    </row>
    <row r="73">
      <c r="J73" s="1008" t="s">
        <v>954</v>
      </c>
      <c r="K73" s="1004">
        <v>6.5</v>
      </c>
      <c r="L73" s="1009" t="s">
        <v>955</v>
      </c>
      <c r="M73" s="987">
        <v>1230.0</v>
      </c>
      <c r="N73" s="993">
        <f>N72*(M73*6)</f>
        <v>-16780.7875</v>
      </c>
      <c r="O73" s="993">
        <f>O72*(M73*6)</f>
        <v>-5793.8125</v>
      </c>
      <c r="P73" s="1001"/>
      <c r="Q73" s="993">
        <f t="shared" si="28"/>
        <v>-22574.6</v>
      </c>
      <c r="R73" s="984" t="s">
        <v>956</v>
      </c>
      <c r="S73" s="996">
        <f>S70-S71-N83</f>
        <v>-1264762.817</v>
      </c>
    </row>
    <row r="74">
      <c r="J74" s="1010" t="s">
        <v>957</v>
      </c>
      <c r="K74" s="994"/>
      <c r="L74" s="1011"/>
      <c r="M74" s="1001"/>
      <c r="N74" s="1001"/>
      <c r="O74" s="1001"/>
      <c r="P74" s="1001"/>
      <c r="Q74" s="1001"/>
      <c r="R74" s="984" t="s">
        <v>275</v>
      </c>
      <c r="S74" s="1006">
        <f>S73/S70</f>
        <v>5.682092735</v>
      </c>
    </row>
    <row r="75">
      <c r="J75" s="1003" t="s">
        <v>958</v>
      </c>
      <c r="K75" s="1004">
        <v>1230.0</v>
      </c>
      <c r="L75" s="1005" t="s">
        <v>959</v>
      </c>
      <c r="M75" s="3"/>
      <c r="N75" s="993">
        <f>Q73+(Q72*K81)</f>
        <v>-24409.93333</v>
      </c>
      <c r="O75" s="1001"/>
      <c r="P75" s="1012" t="s">
        <v>960</v>
      </c>
      <c r="Q75" s="232"/>
      <c r="R75" s="232"/>
      <c r="S75" s="3"/>
    </row>
    <row r="76">
      <c r="J76" s="1014" t="s">
        <v>961</v>
      </c>
      <c r="K76" s="1004">
        <v>3.0</v>
      </c>
      <c r="L76" s="1005" t="s">
        <v>962</v>
      </c>
      <c r="M76" s="3"/>
      <c r="N76" s="993">
        <f>N75*K68+L69*K87*K68*110</f>
        <v>-723886.6833</v>
      </c>
      <c r="O76" s="1015"/>
      <c r="P76" s="1016" t="s">
        <v>963</v>
      </c>
      <c r="Q76" s="1017">
        <v>567400.0</v>
      </c>
      <c r="R76" s="984" t="s">
        <v>964</v>
      </c>
      <c r="S76" s="998">
        <v>100000.0</v>
      </c>
    </row>
    <row r="77">
      <c r="J77" s="1014" t="s">
        <v>965</v>
      </c>
      <c r="K77" s="1004">
        <f>K68</f>
        <v>31</v>
      </c>
      <c r="L77" s="1005" t="s">
        <v>966</v>
      </c>
      <c r="M77" s="3"/>
      <c r="N77" s="984" t="s">
        <v>375</v>
      </c>
      <c r="O77" s="1010" t="s">
        <v>349</v>
      </c>
      <c r="P77" s="1018" t="s">
        <v>967</v>
      </c>
      <c r="Q77" s="1019">
        <f>L69*K82%*K68*300</f>
        <v>406875</v>
      </c>
      <c r="R77" s="995" t="s">
        <v>968</v>
      </c>
      <c r="S77" s="993">
        <v>26250.0</v>
      </c>
    </row>
    <row r="78">
      <c r="J78" s="1003" t="s">
        <v>969</v>
      </c>
      <c r="K78" s="1004">
        <v>1230.0</v>
      </c>
      <c r="L78" s="1005" t="s">
        <v>970</v>
      </c>
      <c r="M78" s="3"/>
      <c r="N78" s="998">
        <f t="shared" ref="N78:N79" si="29">K70*1.15</f>
        <v>368000</v>
      </c>
      <c r="O78" s="1020">
        <v>15000.0</v>
      </c>
      <c r="P78" s="1021" t="s">
        <v>971</v>
      </c>
      <c r="Q78" s="1019">
        <f>L69*K83*K68*100</f>
        <v>24412.5</v>
      </c>
      <c r="R78" s="1022" t="s">
        <v>972</v>
      </c>
      <c r="S78" s="993">
        <v>25000.0</v>
      </c>
    </row>
    <row r="79">
      <c r="J79" s="1003" t="s">
        <v>973</v>
      </c>
      <c r="K79" s="1004">
        <v>5.0</v>
      </c>
      <c r="L79" s="1005" t="s">
        <v>974</v>
      </c>
      <c r="M79" s="3"/>
      <c r="N79" s="998">
        <f t="shared" si="29"/>
        <v>310500</v>
      </c>
      <c r="O79" s="998">
        <v>15000.0</v>
      </c>
      <c r="P79" s="1018" t="s">
        <v>975</v>
      </c>
      <c r="Q79" s="1024">
        <f>L69*K84*K68*100</f>
        <v>100362.5</v>
      </c>
      <c r="R79" s="1025" t="s">
        <v>976</v>
      </c>
      <c r="S79" s="3"/>
    </row>
    <row r="80">
      <c r="J80" s="1003" t="s">
        <v>977</v>
      </c>
      <c r="K80" s="1004">
        <v>35.0</v>
      </c>
      <c r="L80" s="1026" t="s">
        <v>978</v>
      </c>
      <c r="M80" s="3"/>
      <c r="N80" s="998">
        <f>(K68*3.5-43.4)*K72*K73</f>
        <v>550095</v>
      </c>
      <c r="O80" s="998">
        <f>(K68*3.5-43.4)*K81</f>
        <v>39060</v>
      </c>
      <c r="P80" s="1018" t="s">
        <v>979</v>
      </c>
      <c r="Q80" s="1019">
        <f>L69*K85*K68*100</f>
        <v>35262.5</v>
      </c>
      <c r="R80" s="984" t="s">
        <v>964</v>
      </c>
      <c r="S80" s="993">
        <v>60000.0</v>
      </c>
    </row>
    <row r="81">
      <c r="J81" s="1022" t="s">
        <v>980</v>
      </c>
      <c r="K81" s="1027">
        <v>600.0</v>
      </c>
      <c r="L81" s="1000" t="s">
        <v>981</v>
      </c>
      <c r="M81" s="3"/>
      <c r="N81" s="998">
        <f>K75*K76*K77</f>
        <v>114390</v>
      </c>
      <c r="O81" s="998">
        <f>K77*K81</f>
        <v>18600</v>
      </c>
      <c r="P81" s="1021" t="s">
        <v>133</v>
      </c>
      <c r="Q81" s="1019">
        <f>L69*K86*K68*100</f>
        <v>24412.5</v>
      </c>
      <c r="R81" s="995" t="s">
        <v>968</v>
      </c>
      <c r="S81" s="993">
        <v>20000.0</v>
      </c>
    </row>
    <row r="82">
      <c r="J82" s="1028" t="s">
        <v>982</v>
      </c>
      <c r="K82" s="1029">
        <v>25.0</v>
      </c>
      <c r="L82" s="1000" t="s">
        <v>983</v>
      </c>
      <c r="M82" s="3"/>
      <c r="N82" s="998">
        <f>K78*K79*K80</f>
        <v>215250</v>
      </c>
      <c r="O82" s="998">
        <f>K80*K81</f>
        <v>21000</v>
      </c>
      <c r="P82" s="1018" t="s">
        <v>984</v>
      </c>
      <c r="Q82" s="1019">
        <f>L69*K87*K68*250</f>
        <v>74593.75</v>
      </c>
      <c r="R82" s="1022" t="s">
        <v>972</v>
      </c>
      <c r="S82" s="993">
        <v>19167.0</v>
      </c>
    </row>
    <row r="83">
      <c r="J83" s="984" t="s">
        <v>971</v>
      </c>
      <c r="K83" s="1006">
        <v>0.045</v>
      </c>
      <c r="L83" s="1000" t="s">
        <v>985</v>
      </c>
      <c r="M83" s="3"/>
      <c r="N83" s="998">
        <f>SUM(N78:O79)</f>
        <v>708500</v>
      </c>
      <c r="O83" s="1030"/>
      <c r="P83" s="984" t="s">
        <v>345</v>
      </c>
      <c r="Q83" s="996">
        <f>SUM(Q76:Q81)+SUM(S76:S78)</f>
        <v>1309975</v>
      </c>
      <c r="R83" s="984" t="s">
        <v>345</v>
      </c>
      <c r="S83" s="993">
        <f>S80+S81+S82</f>
        <v>99167</v>
      </c>
    </row>
    <row r="84">
      <c r="J84" s="1022" t="s">
        <v>986</v>
      </c>
      <c r="K84" s="1006">
        <v>0.185</v>
      </c>
      <c r="L84" s="975"/>
      <c r="M84" s="975"/>
      <c r="N84" s="975"/>
      <c r="O84" s="975"/>
      <c r="P84" s="975"/>
      <c r="Q84" s="975"/>
      <c r="R84" s="975"/>
      <c r="S84" s="975"/>
    </row>
    <row r="85">
      <c r="J85" s="1022" t="s">
        <v>987</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984</v>
      </c>
      <c r="K87" s="1006">
        <v>0.055</v>
      </c>
      <c r="L87" s="975"/>
      <c r="M87" s="975"/>
      <c r="N87" s="975"/>
      <c r="O87" s="975"/>
      <c r="P87" s="975"/>
      <c r="Q87" s="975"/>
      <c r="R87" s="975"/>
      <c r="S87" s="975"/>
    </row>
    <row r="89">
      <c r="J89" s="976" t="s">
        <v>940</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943</v>
      </c>
      <c r="K90" s="985">
        <f>DAY(EOMONTH(K89,0))</f>
        <v>30</v>
      </c>
      <c r="L90" s="986" t="s">
        <v>944</v>
      </c>
      <c r="M90" s="986" t="s">
        <v>277</v>
      </c>
      <c r="N90" s="986" t="s">
        <v>296</v>
      </c>
      <c r="O90" s="986" t="s">
        <v>298</v>
      </c>
      <c r="P90" s="986" t="s">
        <v>298</v>
      </c>
      <c r="Q90" s="986" t="s">
        <v>945</v>
      </c>
      <c r="R90" s="984" t="s">
        <v>946</v>
      </c>
      <c r="S90" s="987">
        <v>1130.0</v>
      </c>
    </row>
    <row r="91">
      <c r="J91" s="984" t="s">
        <v>277</v>
      </c>
      <c r="K91" s="992">
        <f t="array" ref="K91">xlookup(L89,$B$3:$B$14,$C$3:$C$14)*100</f>
        <v>0</v>
      </c>
      <c r="L91" s="993">
        <f>SUM(N91:P91)</f>
        <v>175</v>
      </c>
      <c r="M91" s="993">
        <v>100.0</v>
      </c>
      <c r="N91" s="987">
        <v>137.0</v>
      </c>
      <c r="O91" s="987">
        <v>38.0</v>
      </c>
      <c r="P91" s="994"/>
      <c r="Q91" s="993">
        <f>L91*K90</f>
        <v>5250</v>
      </c>
      <c r="R91" s="995" t="s">
        <v>947</v>
      </c>
      <c r="S91" s="996">
        <f>Q105</f>
        <v>1290900</v>
      </c>
    </row>
    <row r="92">
      <c r="J92" s="984" t="s">
        <v>948</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949</v>
      </c>
      <c r="K93" s="1033">
        <v>270000.0</v>
      </c>
      <c r="L93" s="1000" t="s">
        <v>950</v>
      </c>
      <c r="M93" s="3"/>
      <c r="N93" s="1032">
        <v>23.9</v>
      </c>
      <c r="O93" s="1032">
        <v>29.75</v>
      </c>
      <c r="P93" s="994"/>
      <c r="Q93" s="1001"/>
      <c r="R93" s="984" t="s">
        <v>951</v>
      </c>
      <c r="S93" s="993">
        <f>N98+SUM(N102:O104)+S105</f>
        <v>321061.5</v>
      </c>
    </row>
    <row r="94">
      <c r="J94" s="1003" t="s">
        <v>952</v>
      </c>
      <c r="K94" s="1004">
        <v>1300.0</v>
      </c>
      <c r="L94" s="1005" t="s">
        <v>953</v>
      </c>
      <c r="M94" s="3"/>
      <c r="N94" s="993">
        <f t="shared" ref="N94:O94" si="30">N92/(360/N93)</f>
        <v>-2.273819444</v>
      </c>
      <c r="O94" s="993">
        <f t="shared" si="30"/>
        <v>-0.7850694444</v>
      </c>
      <c r="P94" s="1001"/>
      <c r="Q94" s="993">
        <f t="shared" ref="Q94:Q95" si="31">N94+O94+P94</f>
        <v>-3.058888889</v>
      </c>
      <c r="R94" s="984" t="s">
        <v>276</v>
      </c>
      <c r="S94" s="1006">
        <f>S93/S92</f>
        <v>-1.670238002</v>
      </c>
    </row>
    <row r="95">
      <c r="J95" s="1008" t="s">
        <v>954</v>
      </c>
      <c r="K95" s="1004">
        <v>6.5</v>
      </c>
      <c r="L95" s="1009" t="s">
        <v>955</v>
      </c>
      <c r="M95" s="987">
        <v>1230.0</v>
      </c>
      <c r="N95" s="993">
        <f>N94*(M95*6)</f>
        <v>-16780.7875</v>
      </c>
      <c r="O95" s="993">
        <f>O94*(M95*6)</f>
        <v>-5793.8125</v>
      </c>
      <c r="P95" s="1001"/>
      <c r="Q95" s="993">
        <f t="shared" si="31"/>
        <v>-22574.6</v>
      </c>
      <c r="R95" s="984" t="s">
        <v>956</v>
      </c>
      <c r="S95" s="996">
        <f>S92-S93-N105</f>
        <v>-1221786.5</v>
      </c>
    </row>
    <row r="96">
      <c r="J96" s="1010" t="s">
        <v>957</v>
      </c>
      <c r="K96" s="994"/>
      <c r="L96" s="1011"/>
      <c r="M96" s="1001"/>
      <c r="N96" s="1001"/>
      <c r="O96" s="1001"/>
      <c r="P96" s="1001"/>
      <c r="Q96" s="1001"/>
      <c r="R96" s="984" t="s">
        <v>275</v>
      </c>
      <c r="S96" s="1006">
        <f>S95/S92</f>
        <v>6.35602289</v>
      </c>
    </row>
    <row r="97">
      <c r="J97" s="1003" t="s">
        <v>958</v>
      </c>
      <c r="K97" s="1004">
        <v>1230.0</v>
      </c>
      <c r="L97" s="1005" t="s">
        <v>959</v>
      </c>
      <c r="M97" s="3"/>
      <c r="N97" s="993">
        <f>Q95+(Q94*K103)</f>
        <v>-24409.93333</v>
      </c>
      <c r="O97" s="1001"/>
      <c r="P97" s="1012" t="s">
        <v>960</v>
      </c>
      <c r="Q97" s="232"/>
      <c r="R97" s="232"/>
      <c r="S97" s="3"/>
    </row>
    <row r="98">
      <c r="J98" s="1014" t="s">
        <v>961</v>
      </c>
      <c r="K98" s="1004">
        <v>3.0</v>
      </c>
      <c r="L98" s="1005" t="s">
        <v>962</v>
      </c>
      <c r="M98" s="3"/>
      <c r="N98" s="993">
        <f>N97*K90+L91*K109*K90*110</f>
        <v>-700535.5</v>
      </c>
      <c r="O98" s="1015"/>
      <c r="P98" s="1016" t="s">
        <v>963</v>
      </c>
      <c r="Q98" s="1017">
        <v>567400.0</v>
      </c>
      <c r="R98" s="984" t="s">
        <v>964</v>
      </c>
      <c r="S98" s="998">
        <v>100000.0</v>
      </c>
    </row>
    <row r="99">
      <c r="J99" s="1014" t="s">
        <v>965</v>
      </c>
      <c r="K99" s="1004">
        <f>K90</f>
        <v>30</v>
      </c>
      <c r="L99" s="1005" t="s">
        <v>966</v>
      </c>
      <c r="M99" s="3"/>
      <c r="N99" s="984" t="s">
        <v>375</v>
      </c>
      <c r="O99" s="1010" t="s">
        <v>349</v>
      </c>
      <c r="P99" s="1018" t="s">
        <v>967</v>
      </c>
      <c r="Q99" s="1019">
        <f>L91*K104%*K90*300</f>
        <v>393750</v>
      </c>
      <c r="R99" s="995" t="s">
        <v>968</v>
      </c>
      <c r="S99" s="993">
        <v>26250.0</v>
      </c>
    </row>
    <row r="100">
      <c r="J100" s="1003" t="s">
        <v>969</v>
      </c>
      <c r="K100" s="1004">
        <v>1230.0</v>
      </c>
      <c r="L100" s="1005" t="s">
        <v>970</v>
      </c>
      <c r="M100" s="3"/>
      <c r="N100" s="998">
        <f t="shared" ref="N100:N101" si="32">K92*1.15</f>
        <v>368000</v>
      </c>
      <c r="O100" s="1020">
        <v>15000.0</v>
      </c>
      <c r="P100" s="1021" t="s">
        <v>971</v>
      </c>
      <c r="Q100" s="1019">
        <f>L91*K105*K90*100</f>
        <v>23625</v>
      </c>
      <c r="R100" s="1022" t="s">
        <v>972</v>
      </c>
      <c r="S100" s="993">
        <v>25000.0</v>
      </c>
    </row>
    <row r="101">
      <c r="J101" s="1003" t="s">
        <v>973</v>
      </c>
      <c r="K101" s="1004">
        <v>5.0</v>
      </c>
      <c r="L101" s="1005" t="s">
        <v>974</v>
      </c>
      <c r="M101" s="3"/>
      <c r="N101" s="998">
        <f t="shared" si="32"/>
        <v>310500</v>
      </c>
      <c r="O101" s="998">
        <v>15000.0</v>
      </c>
      <c r="P101" s="1018" t="s">
        <v>975</v>
      </c>
      <c r="Q101" s="1024">
        <f>L91*K106*K90*100</f>
        <v>97125</v>
      </c>
      <c r="R101" s="1025" t="s">
        <v>976</v>
      </c>
      <c r="S101" s="3"/>
    </row>
    <row r="102">
      <c r="J102" s="1003" t="s">
        <v>977</v>
      </c>
      <c r="K102" s="1004">
        <v>35.0</v>
      </c>
      <c r="L102" s="1026" t="s">
        <v>978</v>
      </c>
      <c r="M102" s="3"/>
      <c r="N102" s="998">
        <f>(K90*3.5-43.4)*K94*K95</f>
        <v>520520</v>
      </c>
      <c r="O102" s="998">
        <f>(K90*3.5-43.4)*K103</f>
        <v>36960</v>
      </c>
      <c r="P102" s="1018" t="s">
        <v>979</v>
      </c>
      <c r="Q102" s="1019">
        <f>L91*K107*K90*100</f>
        <v>34125</v>
      </c>
      <c r="R102" s="984" t="s">
        <v>964</v>
      </c>
      <c r="S102" s="993">
        <v>60000.0</v>
      </c>
    </row>
    <row r="103">
      <c r="J103" s="1022" t="s">
        <v>980</v>
      </c>
      <c r="K103" s="1027">
        <v>600.0</v>
      </c>
      <c r="L103" s="1000" t="s">
        <v>981</v>
      </c>
      <c r="M103" s="3"/>
      <c r="N103" s="998">
        <f>K97*K98*K99</f>
        <v>110700</v>
      </c>
      <c r="O103" s="998">
        <f>K99*K103</f>
        <v>18000</v>
      </c>
      <c r="P103" s="1021" t="s">
        <v>133</v>
      </c>
      <c r="Q103" s="1019">
        <f>L91*K108*K90*100</f>
        <v>23625</v>
      </c>
      <c r="R103" s="995" t="s">
        <v>968</v>
      </c>
      <c r="S103" s="993">
        <v>20000.0</v>
      </c>
    </row>
    <row r="104">
      <c r="J104" s="1028" t="s">
        <v>982</v>
      </c>
      <c r="K104" s="1029">
        <v>25.0</v>
      </c>
      <c r="L104" s="1000" t="s">
        <v>983</v>
      </c>
      <c r="M104" s="3"/>
      <c r="N104" s="998">
        <f>K100*K101*K102</f>
        <v>215250</v>
      </c>
      <c r="O104" s="998">
        <f>K102*K103</f>
        <v>21000</v>
      </c>
      <c r="P104" s="1018" t="s">
        <v>984</v>
      </c>
      <c r="Q104" s="1019">
        <f>L91*K109*K90*250</f>
        <v>72187.5</v>
      </c>
      <c r="R104" s="1022" t="s">
        <v>972</v>
      </c>
      <c r="S104" s="993">
        <v>19167.0</v>
      </c>
    </row>
    <row r="105">
      <c r="J105" s="984" t="s">
        <v>971</v>
      </c>
      <c r="K105" s="1006">
        <v>0.045</v>
      </c>
      <c r="L105" s="1000" t="s">
        <v>985</v>
      </c>
      <c r="M105" s="3"/>
      <c r="N105" s="998">
        <f>SUM(N100:O101)</f>
        <v>708500</v>
      </c>
      <c r="O105" s="1030"/>
      <c r="P105" s="984" t="s">
        <v>345</v>
      </c>
      <c r="Q105" s="996">
        <f>SUM(Q98:Q103)+SUM(S98:S100)</f>
        <v>1290900</v>
      </c>
      <c r="R105" s="984" t="s">
        <v>345</v>
      </c>
      <c r="S105" s="993">
        <f>S102+S103+S104</f>
        <v>99167</v>
      </c>
    </row>
    <row r="106">
      <c r="J106" s="1022" t="s">
        <v>986</v>
      </c>
      <c r="K106" s="1006">
        <v>0.185</v>
      </c>
      <c r="L106" s="975"/>
      <c r="M106" s="975"/>
      <c r="N106" s="975"/>
      <c r="O106" s="975"/>
      <c r="P106" s="975"/>
      <c r="Q106" s="975"/>
      <c r="R106" s="975"/>
      <c r="S106" s="975"/>
    </row>
    <row r="107">
      <c r="J107" s="1022" t="s">
        <v>987</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984</v>
      </c>
      <c r="K109" s="1006">
        <v>0.055</v>
      </c>
      <c r="L109" s="975"/>
      <c r="M109" s="975"/>
      <c r="N109" s="975"/>
      <c r="O109" s="975"/>
      <c r="P109" s="975"/>
      <c r="Q109" s="975"/>
      <c r="R109" s="975"/>
      <c r="S109" s="975"/>
    </row>
    <row r="111">
      <c r="J111" s="976" t="s">
        <v>940</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943</v>
      </c>
      <c r="K112" s="985">
        <f>DAY(EOMONTH(K111,0))</f>
        <v>31</v>
      </c>
      <c r="L112" s="986" t="s">
        <v>944</v>
      </c>
      <c r="M112" s="986" t="s">
        <v>277</v>
      </c>
      <c r="N112" s="986" t="s">
        <v>296</v>
      </c>
      <c r="O112" s="986" t="s">
        <v>298</v>
      </c>
      <c r="P112" s="986" t="s">
        <v>298</v>
      </c>
      <c r="Q112" s="986" t="s">
        <v>945</v>
      </c>
      <c r="R112" s="984" t="s">
        <v>946</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947</v>
      </c>
      <c r="S113" s="996">
        <f>Q127</f>
        <v>1309975</v>
      </c>
    </row>
    <row r="114">
      <c r="J114" s="984" t="s">
        <v>948</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949</v>
      </c>
      <c r="K115" s="1033">
        <v>270000.0</v>
      </c>
      <c r="L115" s="1000" t="s">
        <v>950</v>
      </c>
      <c r="M115" s="3"/>
      <c r="N115" s="1032">
        <v>23.9</v>
      </c>
      <c r="O115" s="1032">
        <v>29.75</v>
      </c>
      <c r="P115" s="994"/>
      <c r="Q115" s="1001"/>
      <c r="R115" s="984" t="s">
        <v>951</v>
      </c>
      <c r="S115" s="993">
        <f>N120+SUM(N124:O126)+S127</f>
        <v>333675.3167</v>
      </c>
    </row>
    <row r="116">
      <c r="J116" s="1003" t="s">
        <v>952</v>
      </c>
      <c r="K116" s="1004">
        <v>1300.0</v>
      </c>
      <c r="L116" s="1005" t="s">
        <v>953</v>
      </c>
      <c r="M116" s="3"/>
      <c r="N116" s="993">
        <f t="shared" ref="N116:O116" si="33">N114/(360/N115)</f>
        <v>-2.273819444</v>
      </c>
      <c r="O116" s="993">
        <f t="shared" si="33"/>
        <v>-0.7850694444</v>
      </c>
      <c r="P116" s="1001"/>
      <c r="Q116" s="993">
        <f t="shared" ref="Q116:Q117" si="34">N116+O116+P116</f>
        <v>-3.058888889</v>
      </c>
      <c r="R116" s="984" t="s">
        <v>276</v>
      </c>
      <c r="S116" s="1006">
        <f>S115/S114</f>
        <v>-1.499074821</v>
      </c>
    </row>
    <row r="117">
      <c r="J117" s="1008" t="s">
        <v>954</v>
      </c>
      <c r="K117" s="1004">
        <v>6.5</v>
      </c>
      <c r="L117" s="1009" t="s">
        <v>955</v>
      </c>
      <c r="M117" s="987">
        <v>1230.0</v>
      </c>
      <c r="N117" s="993">
        <f>N116*(M117*6)</f>
        <v>-16780.7875</v>
      </c>
      <c r="O117" s="993">
        <f>O116*(M117*6)</f>
        <v>-5793.8125</v>
      </c>
      <c r="P117" s="1001"/>
      <c r="Q117" s="993">
        <f t="shared" si="34"/>
        <v>-22574.6</v>
      </c>
      <c r="R117" s="984" t="s">
        <v>956</v>
      </c>
      <c r="S117" s="996">
        <f>S114-S115-N127</f>
        <v>-1264762.817</v>
      </c>
    </row>
    <row r="118">
      <c r="J118" s="1010" t="s">
        <v>957</v>
      </c>
      <c r="K118" s="994"/>
      <c r="L118" s="1011"/>
      <c r="M118" s="1001"/>
      <c r="N118" s="1001"/>
      <c r="O118" s="1001"/>
      <c r="P118" s="1001"/>
      <c r="Q118" s="1001"/>
      <c r="R118" s="984" t="s">
        <v>275</v>
      </c>
      <c r="S118" s="1006">
        <f>S117/S114</f>
        <v>5.682092735</v>
      </c>
    </row>
    <row r="119">
      <c r="J119" s="1003" t="s">
        <v>958</v>
      </c>
      <c r="K119" s="1004">
        <v>1230.0</v>
      </c>
      <c r="L119" s="1005" t="s">
        <v>959</v>
      </c>
      <c r="M119" s="3"/>
      <c r="N119" s="993">
        <f>Q117+(Q116*K125)</f>
        <v>-24409.93333</v>
      </c>
      <c r="O119" s="1001"/>
      <c r="P119" s="1012" t="s">
        <v>960</v>
      </c>
      <c r="Q119" s="232"/>
      <c r="R119" s="232"/>
      <c r="S119" s="3"/>
    </row>
    <row r="120">
      <c r="J120" s="1014" t="s">
        <v>961</v>
      </c>
      <c r="K120" s="1004">
        <v>3.0</v>
      </c>
      <c r="L120" s="1005" t="s">
        <v>962</v>
      </c>
      <c r="M120" s="3"/>
      <c r="N120" s="993">
        <f>N119*K112+L113*K131*K112*110</f>
        <v>-723886.6833</v>
      </c>
      <c r="O120" s="1015"/>
      <c r="P120" s="1016" t="s">
        <v>963</v>
      </c>
      <c r="Q120" s="1017">
        <v>567400.0</v>
      </c>
      <c r="R120" s="984" t="s">
        <v>964</v>
      </c>
      <c r="S120" s="998">
        <v>100000.0</v>
      </c>
    </row>
    <row r="121">
      <c r="J121" s="1014" t="s">
        <v>965</v>
      </c>
      <c r="K121" s="1004">
        <f>K112</f>
        <v>31</v>
      </c>
      <c r="L121" s="1005" t="s">
        <v>966</v>
      </c>
      <c r="M121" s="3"/>
      <c r="N121" s="984" t="s">
        <v>375</v>
      </c>
      <c r="O121" s="1010" t="s">
        <v>349</v>
      </c>
      <c r="P121" s="1018" t="s">
        <v>967</v>
      </c>
      <c r="Q121" s="1019">
        <f>L113*K126%*K112*300</f>
        <v>406875</v>
      </c>
      <c r="R121" s="995" t="s">
        <v>968</v>
      </c>
      <c r="S121" s="993">
        <v>26250.0</v>
      </c>
    </row>
    <row r="122">
      <c r="J122" s="1003" t="s">
        <v>969</v>
      </c>
      <c r="K122" s="1004">
        <v>1230.0</v>
      </c>
      <c r="L122" s="1005" t="s">
        <v>970</v>
      </c>
      <c r="M122" s="3"/>
      <c r="N122" s="998">
        <f t="shared" ref="N122:N123" si="35">K114*1.15</f>
        <v>368000</v>
      </c>
      <c r="O122" s="1020">
        <v>15000.0</v>
      </c>
      <c r="P122" s="1021" t="s">
        <v>971</v>
      </c>
      <c r="Q122" s="1019">
        <f>L113*K127*K112*100</f>
        <v>24412.5</v>
      </c>
      <c r="R122" s="1022" t="s">
        <v>972</v>
      </c>
      <c r="S122" s="993">
        <v>25000.0</v>
      </c>
    </row>
    <row r="123">
      <c r="J123" s="1003" t="s">
        <v>973</v>
      </c>
      <c r="K123" s="1004">
        <v>5.0</v>
      </c>
      <c r="L123" s="1005" t="s">
        <v>974</v>
      </c>
      <c r="M123" s="3"/>
      <c r="N123" s="998">
        <f t="shared" si="35"/>
        <v>310500</v>
      </c>
      <c r="O123" s="998">
        <v>15000.0</v>
      </c>
      <c r="P123" s="1018" t="s">
        <v>975</v>
      </c>
      <c r="Q123" s="1024">
        <f>L113*K128*K112*100</f>
        <v>100362.5</v>
      </c>
      <c r="R123" s="1025" t="s">
        <v>976</v>
      </c>
      <c r="S123" s="3"/>
    </row>
    <row r="124">
      <c r="J124" s="1003" t="s">
        <v>977</v>
      </c>
      <c r="K124" s="1004">
        <v>35.0</v>
      </c>
      <c r="L124" s="1026" t="s">
        <v>978</v>
      </c>
      <c r="M124" s="3"/>
      <c r="N124" s="998">
        <f>(K112*3.5-43.4)*K116*K117</f>
        <v>550095</v>
      </c>
      <c r="O124" s="998">
        <f>(K112*3.5-43.4)*K125</f>
        <v>39060</v>
      </c>
      <c r="P124" s="1018" t="s">
        <v>979</v>
      </c>
      <c r="Q124" s="1019">
        <f>L113*K129*K112*100</f>
        <v>35262.5</v>
      </c>
      <c r="R124" s="984" t="s">
        <v>964</v>
      </c>
      <c r="S124" s="993">
        <v>60000.0</v>
      </c>
    </row>
    <row r="125">
      <c r="J125" s="1022" t="s">
        <v>980</v>
      </c>
      <c r="K125" s="1027">
        <v>600.0</v>
      </c>
      <c r="L125" s="1000" t="s">
        <v>981</v>
      </c>
      <c r="M125" s="3"/>
      <c r="N125" s="998">
        <f>K119*K120*K121</f>
        <v>114390</v>
      </c>
      <c r="O125" s="998">
        <f>K121*K125</f>
        <v>18600</v>
      </c>
      <c r="P125" s="1021" t="s">
        <v>133</v>
      </c>
      <c r="Q125" s="1019">
        <f>L113*K130*K112*100</f>
        <v>24412.5</v>
      </c>
      <c r="R125" s="995" t="s">
        <v>968</v>
      </c>
      <c r="S125" s="993">
        <v>20000.0</v>
      </c>
    </row>
    <row r="126">
      <c r="J126" s="1028" t="s">
        <v>982</v>
      </c>
      <c r="K126" s="1029">
        <v>25.0</v>
      </c>
      <c r="L126" s="1000" t="s">
        <v>983</v>
      </c>
      <c r="M126" s="3"/>
      <c r="N126" s="998">
        <f>K122*K123*K124</f>
        <v>215250</v>
      </c>
      <c r="O126" s="998">
        <f>K124*K125</f>
        <v>21000</v>
      </c>
      <c r="P126" s="1018" t="s">
        <v>984</v>
      </c>
      <c r="Q126" s="1019">
        <f>L113*K131*K112*250</f>
        <v>74593.75</v>
      </c>
      <c r="R126" s="1022" t="s">
        <v>972</v>
      </c>
      <c r="S126" s="993">
        <v>19167.0</v>
      </c>
    </row>
    <row r="127">
      <c r="J127" s="984" t="s">
        <v>971</v>
      </c>
      <c r="K127" s="1006">
        <v>0.045</v>
      </c>
      <c r="L127" s="1000" t="s">
        <v>985</v>
      </c>
      <c r="M127" s="3"/>
      <c r="N127" s="998">
        <f>SUM(N122:O123)</f>
        <v>708500</v>
      </c>
      <c r="O127" s="1030"/>
      <c r="P127" s="984" t="s">
        <v>345</v>
      </c>
      <c r="Q127" s="996">
        <f>SUM(Q120:Q125)+SUM(S120:S122)</f>
        <v>1309975</v>
      </c>
      <c r="R127" s="984" t="s">
        <v>345</v>
      </c>
      <c r="S127" s="993">
        <f>S124+S125+S126</f>
        <v>99167</v>
      </c>
    </row>
    <row r="128">
      <c r="J128" s="1022" t="s">
        <v>986</v>
      </c>
      <c r="K128" s="1006">
        <v>0.185</v>
      </c>
      <c r="L128" s="975"/>
      <c r="M128" s="975"/>
      <c r="N128" s="975"/>
      <c r="O128" s="975"/>
      <c r="P128" s="975"/>
      <c r="Q128" s="975"/>
      <c r="R128" s="975"/>
      <c r="S128" s="975"/>
    </row>
    <row r="129">
      <c r="J129" s="1022" t="s">
        <v>987</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984</v>
      </c>
      <c r="K131" s="1006">
        <v>0.055</v>
      </c>
      <c r="L131" s="975"/>
      <c r="M131" s="975"/>
      <c r="N131" s="975"/>
      <c r="O131" s="975"/>
      <c r="P131" s="975"/>
      <c r="Q131" s="975"/>
      <c r="R131" s="975"/>
      <c r="S131" s="975"/>
    </row>
    <row r="133">
      <c r="J133" s="976" t="s">
        <v>940</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943</v>
      </c>
      <c r="K134" s="985">
        <f>DAY(EOMONTH(K133,0))</f>
        <v>31</v>
      </c>
      <c r="L134" s="986" t="s">
        <v>944</v>
      </c>
      <c r="M134" s="986" t="s">
        <v>277</v>
      </c>
      <c r="N134" s="986" t="s">
        <v>296</v>
      </c>
      <c r="O134" s="986" t="s">
        <v>298</v>
      </c>
      <c r="P134" s="986" t="s">
        <v>298</v>
      </c>
      <c r="Q134" s="986" t="s">
        <v>945</v>
      </c>
      <c r="R134" s="984" t="s">
        <v>946</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947</v>
      </c>
      <c r="S135" s="996">
        <f>Q149</f>
        <v>1309975</v>
      </c>
    </row>
    <row r="136">
      <c r="J136" s="984" t="s">
        <v>948</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949</v>
      </c>
      <c r="K137" s="1033">
        <v>270000.0</v>
      </c>
      <c r="L137" s="1000" t="s">
        <v>950</v>
      </c>
      <c r="M137" s="3"/>
      <c r="N137" s="1032">
        <v>23.9</v>
      </c>
      <c r="O137" s="1032">
        <v>29.75</v>
      </c>
      <c r="P137" s="994"/>
      <c r="Q137" s="1001"/>
      <c r="R137" s="984" t="s">
        <v>951</v>
      </c>
      <c r="S137" s="993">
        <f>N142+SUM(N146:O148)+S149</f>
        <v>333675.3167</v>
      </c>
    </row>
    <row r="138">
      <c r="J138" s="1003" t="s">
        <v>952</v>
      </c>
      <c r="K138" s="1004">
        <v>1300.0</v>
      </c>
      <c r="L138" s="1005" t="s">
        <v>953</v>
      </c>
      <c r="M138" s="3"/>
      <c r="N138" s="993">
        <f t="shared" ref="N138:O138" si="36">N136/(360/N137)</f>
        <v>-2.273819444</v>
      </c>
      <c r="O138" s="993">
        <f t="shared" si="36"/>
        <v>-0.7850694444</v>
      </c>
      <c r="P138" s="1001"/>
      <c r="Q138" s="993">
        <f t="shared" ref="Q138:Q139" si="37">N138+O138+P138</f>
        <v>-3.058888889</v>
      </c>
      <c r="R138" s="984" t="s">
        <v>276</v>
      </c>
      <c r="S138" s="1006">
        <f>S137/S136</f>
        <v>-1.499074821</v>
      </c>
    </row>
    <row r="139">
      <c r="J139" s="1008" t="s">
        <v>954</v>
      </c>
      <c r="K139" s="1004">
        <v>6.5</v>
      </c>
      <c r="L139" s="1009" t="s">
        <v>955</v>
      </c>
      <c r="M139" s="987">
        <v>1230.0</v>
      </c>
      <c r="N139" s="993">
        <f>N138*(M139*6)</f>
        <v>-16780.7875</v>
      </c>
      <c r="O139" s="993">
        <f>O138*(M139*6)</f>
        <v>-5793.8125</v>
      </c>
      <c r="P139" s="1001"/>
      <c r="Q139" s="993">
        <f t="shared" si="37"/>
        <v>-22574.6</v>
      </c>
      <c r="R139" s="984" t="s">
        <v>956</v>
      </c>
      <c r="S139" s="996">
        <f>S136-S137-N149</f>
        <v>-1264762.817</v>
      </c>
    </row>
    <row r="140">
      <c r="J140" s="1010" t="s">
        <v>957</v>
      </c>
      <c r="K140" s="994"/>
      <c r="L140" s="1011"/>
      <c r="M140" s="1001"/>
      <c r="N140" s="1001"/>
      <c r="O140" s="1001"/>
      <c r="P140" s="1001"/>
      <c r="Q140" s="1001"/>
      <c r="R140" s="984" t="s">
        <v>275</v>
      </c>
      <c r="S140" s="1006">
        <f>S139/S136</f>
        <v>5.682092735</v>
      </c>
    </row>
    <row r="141">
      <c r="J141" s="1003" t="s">
        <v>958</v>
      </c>
      <c r="K141" s="1004">
        <v>1230.0</v>
      </c>
      <c r="L141" s="1005" t="s">
        <v>959</v>
      </c>
      <c r="M141" s="3"/>
      <c r="N141" s="993">
        <f>Q139+(Q138*K147)</f>
        <v>-24409.93333</v>
      </c>
      <c r="O141" s="1001"/>
      <c r="P141" s="1012" t="s">
        <v>960</v>
      </c>
      <c r="Q141" s="232"/>
      <c r="R141" s="232"/>
      <c r="S141" s="3"/>
    </row>
    <row r="142">
      <c r="J142" s="1014" t="s">
        <v>961</v>
      </c>
      <c r="K142" s="1004">
        <v>3.0</v>
      </c>
      <c r="L142" s="1005" t="s">
        <v>962</v>
      </c>
      <c r="M142" s="3"/>
      <c r="N142" s="993">
        <f>N141*K134+L135*K153*K134*110</f>
        <v>-723886.6833</v>
      </c>
      <c r="O142" s="1015"/>
      <c r="P142" s="1016" t="s">
        <v>963</v>
      </c>
      <c r="Q142" s="1017">
        <v>567400.0</v>
      </c>
      <c r="R142" s="984" t="s">
        <v>964</v>
      </c>
      <c r="S142" s="998">
        <v>100000.0</v>
      </c>
    </row>
    <row r="143">
      <c r="J143" s="1014" t="s">
        <v>965</v>
      </c>
      <c r="K143" s="1004">
        <f>K134</f>
        <v>31</v>
      </c>
      <c r="L143" s="1005" t="s">
        <v>966</v>
      </c>
      <c r="M143" s="3"/>
      <c r="N143" s="984" t="s">
        <v>375</v>
      </c>
      <c r="O143" s="1010" t="s">
        <v>349</v>
      </c>
      <c r="P143" s="1018" t="s">
        <v>967</v>
      </c>
      <c r="Q143" s="1019">
        <f>L135*K148%*K134*300</f>
        <v>406875</v>
      </c>
      <c r="R143" s="995" t="s">
        <v>968</v>
      </c>
      <c r="S143" s="993">
        <v>26250.0</v>
      </c>
    </row>
    <row r="144">
      <c r="J144" s="1003" t="s">
        <v>969</v>
      </c>
      <c r="K144" s="1004">
        <v>1230.0</v>
      </c>
      <c r="L144" s="1005" t="s">
        <v>970</v>
      </c>
      <c r="M144" s="3"/>
      <c r="N144" s="998">
        <f t="shared" ref="N144:N145" si="38">K136*1.15</f>
        <v>368000</v>
      </c>
      <c r="O144" s="1020">
        <v>15000.0</v>
      </c>
      <c r="P144" s="1021" t="s">
        <v>971</v>
      </c>
      <c r="Q144" s="1019">
        <f>L135*K149*K134*100</f>
        <v>24412.5</v>
      </c>
      <c r="R144" s="1022" t="s">
        <v>972</v>
      </c>
      <c r="S144" s="993">
        <v>25000.0</v>
      </c>
    </row>
    <row r="145">
      <c r="J145" s="1003" t="s">
        <v>973</v>
      </c>
      <c r="K145" s="1004">
        <v>5.0</v>
      </c>
      <c r="L145" s="1005" t="s">
        <v>974</v>
      </c>
      <c r="M145" s="3"/>
      <c r="N145" s="998">
        <f t="shared" si="38"/>
        <v>310500</v>
      </c>
      <c r="O145" s="998">
        <v>15000.0</v>
      </c>
      <c r="P145" s="1018" t="s">
        <v>975</v>
      </c>
      <c r="Q145" s="1024">
        <f>L135*K150*K134*100</f>
        <v>100362.5</v>
      </c>
      <c r="R145" s="1025" t="s">
        <v>976</v>
      </c>
      <c r="S145" s="3"/>
    </row>
    <row r="146">
      <c r="J146" s="1003" t="s">
        <v>977</v>
      </c>
      <c r="K146" s="1004">
        <v>35.0</v>
      </c>
      <c r="L146" s="1026" t="s">
        <v>978</v>
      </c>
      <c r="M146" s="3"/>
      <c r="N146" s="998">
        <f>(K134*3.5-43.4)*K138*K139</f>
        <v>550095</v>
      </c>
      <c r="O146" s="998">
        <f>(K134*3.5-43.4)*K147</f>
        <v>39060</v>
      </c>
      <c r="P146" s="1018" t="s">
        <v>979</v>
      </c>
      <c r="Q146" s="1019">
        <f>L135*K151*K134*100</f>
        <v>35262.5</v>
      </c>
      <c r="R146" s="984" t="s">
        <v>964</v>
      </c>
      <c r="S146" s="993">
        <v>60000.0</v>
      </c>
    </row>
    <row r="147">
      <c r="J147" s="1022" t="s">
        <v>980</v>
      </c>
      <c r="K147" s="1027">
        <v>600.0</v>
      </c>
      <c r="L147" s="1000" t="s">
        <v>981</v>
      </c>
      <c r="M147" s="3"/>
      <c r="N147" s="998">
        <f>K141*K142*K143</f>
        <v>114390</v>
      </c>
      <c r="O147" s="998">
        <f>K143*K147</f>
        <v>18600</v>
      </c>
      <c r="P147" s="1021" t="s">
        <v>133</v>
      </c>
      <c r="Q147" s="1019">
        <f>L135*K152*K134*100</f>
        <v>24412.5</v>
      </c>
      <c r="R147" s="995" t="s">
        <v>968</v>
      </c>
      <c r="S147" s="993">
        <v>20000.0</v>
      </c>
    </row>
    <row r="148">
      <c r="J148" s="1028" t="s">
        <v>982</v>
      </c>
      <c r="K148" s="1029">
        <v>25.0</v>
      </c>
      <c r="L148" s="1000" t="s">
        <v>983</v>
      </c>
      <c r="M148" s="3"/>
      <c r="N148" s="998">
        <f>K144*K145*K146</f>
        <v>215250</v>
      </c>
      <c r="O148" s="998">
        <f>K146*K147</f>
        <v>21000</v>
      </c>
      <c r="P148" s="1018" t="s">
        <v>984</v>
      </c>
      <c r="Q148" s="1019">
        <f>L135*K153*K134*250</f>
        <v>74593.75</v>
      </c>
      <c r="R148" s="1022" t="s">
        <v>972</v>
      </c>
      <c r="S148" s="993">
        <v>19167.0</v>
      </c>
    </row>
    <row r="149">
      <c r="J149" s="984" t="s">
        <v>971</v>
      </c>
      <c r="K149" s="1006">
        <v>0.045</v>
      </c>
      <c r="L149" s="1000" t="s">
        <v>985</v>
      </c>
      <c r="M149" s="3"/>
      <c r="N149" s="998">
        <f>SUM(N144:O145)</f>
        <v>708500</v>
      </c>
      <c r="O149" s="1030"/>
      <c r="P149" s="984" t="s">
        <v>345</v>
      </c>
      <c r="Q149" s="996">
        <f>SUM(Q142:Q147)+SUM(S142:S144)</f>
        <v>1309975</v>
      </c>
      <c r="R149" s="984" t="s">
        <v>345</v>
      </c>
      <c r="S149" s="993">
        <f>S146+S147+S148</f>
        <v>99167</v>
      </c>
    </row>
    <row r="150">
      <c r="J150" s="1022" t="s">
        <v>986</v>
      </c>
      <c r="K150" s="1006">
        <v>0.185</v>
      </c>
      <c r="L150" s="975"/>
      <c r="M150" s="975"/>
      <c r="N150" s="975"/>
      <c r="O150" s="975"/>
      <c r="P150" s="975"/>
      <c r="Q150" s="975"/>
      <c r="R150" s="975"/>
      <c r="S150" s="975"/>
    </row>
    <row r="151">
      <c r="J151" s="1022" t="s">
        <v>987</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984</v>
      </c>
      <c r="K153" s="1006">
        <v>0.055</v>
      </c>
      <c r="L153" s="975"/>
      <c r="M153" s="975"/>
      <c r="N153" s="975"/>
      <c r="O153" s="975"/>
      <c r="P153" s="975"/>
      <c r="Q153" s="975"/>
      <c r="R153" s="975"/>
      <c r="S153" s="975"/>
    </row>
    <row r="155">
      <c r="J155" s="976" t="s">
        <v>940</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943</v>
      </c>
      <c r="K156" s="985">
        <f>DAY(EOMONTH(K155,0))</f>
        <v>31</v>
      </c>
      <c r="L156" s="986" t="s">
        <v>944</v>
      </c>
      <c r="M156" s="986" t="s">
        <v>277</v>
      </c>
      <c r="N156" s="986" t="s">
        <v>296</v>
      </c>
      <c r="O156" s="986" t="s">
        <v>298</v>
      </c>
      <c r="P156" s="986" t="s">
        <v>298</v>
      </c>
      <c r="Q156" s="986" t="s">
        <v>945</v>
      </c>
      <c r="R156" s="984" t="s">
        <v>946</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947</v>
      </c>
      <c r="S157" s="996">
        <f>Q171</f>
        <v>1309975</v>
      </c>
    </row>
    <row r="158">
      <c r="J158" s="984" t="s">
        <v>948</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949</v>
      </c>
      <c r="K159" s="1033">
        <v>270000.0</v>
      </c>
      <c r="L159" s="1000" t="s">
        <v>950</v>
      </c>
      <c r="M159" s="3"/>
      <c r="N159" s="1032">
        <v>23.9</v>
      </c>
      <c r="O159" s="1032">
        <v>29.75</v>
      </c>
      <c r="P159" s="994"/>
      <c r="Q159" s="1001"/>
      <c r="R159" s="984" t="s">
        <v>951</v>
      </c>
      <c r="S159" s="993">
        <f>N164+SUM(N168:O170)+S171</f>
        <v>333675.3167</v>
      </c>
    </row>
    <row r="160">
      <c r="J160" s="1003" t="s">
        <v>952</v>
      </c>
      <c r="K160" s="1004">
        <v>1300.0</v>
      </c>
      <c r="L160" s="1005" t="s">
        <v>953</v>
      </c>
      <c r="M160" s="3"/>
      <c r="N160" s="993">
        <f t="shared" ref="N160:O160" si="39">N158/(360/N159)</f>
        <v>-2.273819444</v>
      </c>
      <c r="O160" s="993">
        <f t="shared" si="39"/>
        <v>-0.7850694444</v>
      </c>
      <c r="P160" s="1001"/>
      <c r="Q160" s="993">
        <f t="shared" ref="Q160:Q161" si="40">N160+O160+P160</f>
        <v>-3.058888889</v>
      </c>
      <c r="R160" s="984" t="s">
        <v>276</v>
      </c>
      <c r="S160" s="1006">
        <f>S159/S158</f>
        <v>-1.499074821</v>
      </c>
    </row>
    <row r="161">
      <c r="J161" s="1008" t="s">
        <v>954</v>
      </c>
      <c r="K161" s="1004">
        <v>6.5</v>
      </c>
      <c r="L161" s="1009" t="s">
        <v>955</v>
      </c>
      <c r="M161" s="987">
        <v>1230.0</v>
      </c>
      <c r="N161" s="993">
        <f>N160*(M161*6)</f>
        <v>-16780.7875</v>
      </c>
      <c r="O161" s="993">
        <f>O160*(M161*6)</f>
        <v>-5793.8125</v>
      </c>
      <c r="P161" s="1001"/>
      <c r="Q161" s="993">
        <f t="shared" si="40"/>
        <v>-22574.6</v>
      </c>
      <c r="R161" s="984" t="s">
        <v>956</v>
      </c>
      <c r="S161" s="996">
        <f>S158-S159-N171</f>
        <v>-1264762.817</v>
      </c>
    </row>
    <row r="162">
      <c r="J162" s="1010" t="s">
        <v>957</v>
      </c>
      <c r="K162" s="994"/>
      <c r="L162" s="1011"/>
      <c r="M162" s="1001"/>
      <c r="N162" s="1001"/>
      <c r="O162" s="1001"/>
      <c r="P162" s="1001"/>
      <c r="Q162" s="1001"/>
      <c r="R162" s="984" t="s">
        <v>275</v>
      </c>
      <c r="S162" s="1006">
        <f>S161/S158</f>
        <v>5.682092735</v>
      </c>
    </row>
    <row r="163">
      <c r="J163" s="1003" t="s">
        <v>958</v>
      </c>
      <c r="K163" s="1004">
        <v>1230.0</v>
      </c>
      <c r="L163" s="1005" t="s">
        <v>959</v>
      </c>
      <c r="M163" s="3"/>
      <c r="N163" s="993">
        <f>Q161+(Q160*K169)</f>
        <v>-24409.93333</v>
      </c>
      <c r="O163" s="1001"/>
      <c r="P163" s="1012" t="s">
        <v>960</v>
      </c>
      <c r="Q163" s="232"/>
      <c r="R163" s="232"/>
      <c r="S163" s="3"/>
    </row>
    <row r="164">
      <c r="J164" s="1014" t="s">
        <v>961</v>
      </c>
      <c r="K164" s="1004">
        <v>3.0</v>
      </c>
      <c r="L164" s="1005" t="s">
        <v>962</v>
      </c>
      <c r="M164" s="3"/>
      <c r="N164" s="993">
        <f>N163*K156+L157*K175*K156*110</f>
        <v>-723886.6833</v>
      </c>
      <c r="O164" s="1015"/>
      <c r="P164" s="1016" t="s">
        <v>963</v>
      </c>
      <c r="Q164" s="1017">
        <v>567400.0</v>
      </c>
      <c r="R164" s="984" t="s">
        <v>964</v>
      </c>
      <c r="S164" s="998">
        <v>100000.0</v>
      </c>
    </row>
    <row r="165">
      <c r="J165" s="1014" t="s">
        <v>965</v>
      </c>
      <c r="K165" s="1004">
        <f>K156</f>
        <v>31</v>
      </c>
      <c r="L165" s="1005" t="s">
        <v>966</v>
      </c>
      <c r="M165" s="3"/>
      <c r="N165" s="984" t="s">
        <v>375</v>
      </c>
      <c r="O165" s="1010" t="s">
        <v>349</v>
      </c>
      <c r="P165" s="1018" t="s">
        <v>967</v>
      </c>
      <c r="Q165" s="1019">
        <f>L157*K170%*K156*300</f>
        <v>406875</v>
      </c>
      <c r="R165" s="995" t="s">
        <v>968</v>
      </c>
      <c r="S165" s="993">
        <v>26250.0</v>
      </c>
    </row>
    <row r="166">
      <c r="J166" s="1003" t="s">
        <v>969</v>
      </c>
      <c r="K166" s="1004">
        <v>1230.0</v>
      </c>
      <c r="L166" s="1005" t="s">
        <v>970</v>
      </c>
      <c r="M166" s="3"/>
      <c r="N166" s="998">
        <f t="shared" ref="N166:N167" si="41">K158*1.15</f>
        <v>368000</v>
      </c>
      <c r="O166" s="1020">
        <v>15000.0</v>
      </c>
      <c r="P166" s="1021" t="s">
        <v>971</v>
      </c>
      <c r="Q166" s="1019">
        <f>L157*K171*K156*100</f>
        <v>24412.5</v>
      </c>
      <c r="R166" s="1022" t="s">
        <v>972</v>
      </c>
      <c r="S166" s="993">
        <v>25000.0</v>
      </c>
    </row>
    <row r="167">
      <c r="J167" s="1003" t="s">
        <v>973</v>
      </c>
      <c r="K167" s="1004">
        <v>5.0</v>
      </c>
      <c r="L167" s="1005" t="s">
        <v>974</v>
      </c>
      <c r="M167" s="3"/>
      <c r="N167" s="998">
        <f t="shared" si="41"/>
        <v>310500</v>
      </c>
      <c r="O167" s="998">
        <v>15000.0</v>
      </c>
      <c r="P167" s="1018" t="s">
        <v>975</v>
      </c>
      <c r="Q167" s="1024">
        <f>L157*K172*K156*100</f>
        <v>100362.5</v>
      </c>
      <c r="R167" s="1025" t="s">
        <v>976</v>
      </c>
      <c r="S167" s="3"/>
    </row>
    <row r="168">
      <c r="J168" s="1003" t="s">
        <v>977</v>
      </c>
      <c r="K168" s="1004">
        <v>35.0</v>
      </c>
      <c r="L168" s="1026" t="s">
        <v>978</v>
      </c>
      <c r="M168" s="3"/>
      <c r="N168" s="998">
        <f>(K156*3.5-43.4)*K160*K161</f>
        <v>550095</v>
      </c>
      <c r="O168" s="998">
        <f>(K156*3.5-43.4)*K169</f>
        <v>39060</v>
      </c>
      <c r="P168" s="1018" t="s">
        <v>979</v>
      </c>
      <c r="Q168" s="1019">
        <f>L157*K173*K156*100</f>
        <v>35262.5</v>
      </c>
      <c r="R168" s="984" t="s">
        <v>964</v>
      </c>
      <c r="S168" s="993">
        <v>60000.0</v>
      </c>
    </row>
    <row r="169">
      <c r="J169" s="1022" t="s">
        <v>980</v>
      </c>
      <c r="K169" s="1027">
        <v>600.0</v>
      </c>
      <c r="L169" s="1000" t="s">
        <v>981</v>
      </c>
      <c r="M169" s="3"/>
      <c r="N169" s="998">
        <f>K163*K164*K165</f>
        <v>114390</v>
      </c>
      <c r="O169" s="998">
        <f>K165*K169</f>
        <v>18600</v>
      </c>
      <c r="P169" s="1021" t="s">
        <v>133</v>
      </c>
      <c r="Q169" s="1019">
        <f>L157*K174*K156*100</f>
        <v>24412.5</v>
      </c>
      <c r="R169" s="995" t="s">
        <v>968</v>
      </c>
      <c r="S169" s="993">
        <v>20000.0</v>
      </c>
    </row>
    <row r="170">
      <c r="J170" s="1028" t="s">
        <v>982</v>
      </c>
      <c r="K170" s="1029">
        <v>25.0</v>
      </c>
      <c r="L170" s="1000" t="s">
        <v>983</v>
      </c>
      <c r="M170" s="3"/>
      <c r="N170" s="998">
        <f>K166*K167*K168</f>
        <v>215250</v>
      </c>
      <c r="O170" s="998">
        <f>K168*K169</f>
        <v>21000</v>
      </c>
      <c r="P170" s="1018" t="s">
        <v>984</v>
      </c>
      <c r="Q170" s="1019">
        <f>L157*K175*K156*250</f>
        <v>74593.75</v>
      </c>
      <c r="R170" s="1022" t="s">
        <v>972</v>
      </c>
      <c r="S170" s="993">
        <v>19167.0</v>
      </c>
    </row>
    <row r="171">
      <c r="J171" s="984" t="s">
        <v>971</v>
      </c>
      <c r="K171" s="1006">
        <v>0.045</v>
      </c>
      <c r="L171" s="1000" t="s">
        <v>985</v>
      </c>
      <c r="M171" s="3"/>
      <c r="N171" s="998">
        <f>SUM(N166:O167)</f>
        <v>708500</v>
      </c>
      <c r="O171" s="1030"/>
      <c r="P171" s="984" t="s">
        <v>345</v>
      </c>
      <c r="Q171" s="996">
        <f>SUM(Q164:Q169)+SUM(S164:S166)</f>
        <v>1309975</v>
      </c>
      <c r="R171" s="984" t="s">
        <v>345</v>
      </c>
      <c r="S171" s="993">
        <f>S168+S169+S170</f>
        <v>99167</v>
      </c>
    </row>
    <row r="172">
      <c r="J172" s="1022" t="s">
        <v>986</v>
      </c>
      <c r="K172" s="1006">
        <v>0.185</v>
      </c>
      <c r="L172" s="975"/>
      <c r="M172" s="975"/>
      <c r="N172" s="975"/>
      <c r="O172" s="975"/>
      <c r="P172" s="975"/>
      <c r="Q172" s="975"/>
      <c r="R172" s="975"/>
      <c r="S172" s="975"/>
    </row>
    <row r="173">
      <c r="J173" s="1022" t="s">
        <v>987</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984</v>
      </c>
      <c r="K175" s="1006">
        <v>0.055</v>
      </c>
      <c r="L175" s="975"/>
      <c r="M175" s="975"/>
      <c r="N175" s="975"/>
      <c r="O175" s="975"/>
      <c r="P175" s="975"/>
      <c r="Q175" s="975"/>
      <c r="R175" s="975"/>
      <c r="S175" s="975"/>
    </row>
    <row r="177">
      <c r="J177" s="976" t="s">
        <v>940</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943</v>
      </c>
      <c r="K178" s="985">
        <f>DAY(EOMONTH(K177,0))</f>
        <v>30</v>
      </c>
      <c r="L178" s="986" t="s">
        <v>944</v>
      </c>
      <c r="M178" s="986" t="s">
        <v>277</v>
      </c>
      <c r="N178" s="986" t="s">
        <v>296</v>
      </c>
      <c r="O178" s="986" t="s">
        <v>298</v>
      </c>
      <c r="P178" s="986" t="s">
        <v>298</v>
      </c>
      <c r="Q178" s="986" t="s">
        <v>945</v>
      </c>
      <c r="R178" s="984" t="s">
        <v>946</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947</v>
      </c>
      <c r="S179" s="996">
        <f>Q193</f>
        <v>1290900</v>
      </c>
    </row>
    <row r="180">
      <c r="J180" s="984" t="s">
        <v>948</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949</v>
      </c>
      <c r="K181" s="1033">
        <v>270000.0</v>
      </c>
      <c r="L181" s="1000" t="s">
        <v>950</v>
      </c>
      <c r="M181" s="3"/>
      <c r="N181" s="1032">
        <v>23.9</v>
      </c>
      <c r="O181" s="1032">
        <v>29.75</v>
      </c>
      <c r="P181" s="994"/>
      <c r="Q181" s="1001"/>
      <c r="R181" s="984" t="s">
        <v>951</v>
      </c>
      <c r="S181" s="993">
        <f>N186+SUM(N190:O192)+S193</f>
        <v>321061.5</v>
      </c>
    </row>
    <row r="182">
      <c r="J182" s="1003" t="s">
        <v>952</v>
      </c>
      <c r="K182" s="1004">
        <v>1300.0</v>
      </c>
      <c r="L182" s="1005" t="s">
        <v>953</v>
      </c>
      <c r="M182" s="3"/>
      <c r="N182" s="993">
        <f t="shared" ref="N182:O182" si="42">N180/(360/N181)</f>
        <v>-2.273819444</v>
      </c>
      <c r="O182" s="993">
        <f t="shared" si="42"/>
        <v>-0.7850694444</v>
      </c>
      <c r="P182" s="1001"/>
      <c r="Q182" s="993">
        <f t="shared" ref="Q182:Q183" si="43">N182+O182+P182</f>
        <v>-3.058888889</v>
      </c>
      <c r="R182" s="984" t="s">
        <v>276</v>
      </c>
      <c r="S182" s="1006">
        <f>S181/S180</f>
        <v>-1.670238002</v>
      </c>
    </row>
    <row r="183">
      <c r="J183" s="1008" t="s">
        <v>954</v>
      </c>
      <c r="K183" s="1004">
        <v>6.5</v>
      </c>
      <c r="L183" s="1009" t="s">
        <v>955</v>
      </c>
      <c r="M183" s="987">
        <v>1230.0</v>
      </c>
      <c r="N183" s="993">
        <f>N182*(M183*6)</f>
        <v>-16780.7875</v>
      </c>
      <c r="O183" s="993">
        <f>O182*(M183*6)</f>
        <v>-5793.8125</v>
      </c>
      <c r="P183" s="1001"/>
      <c r="Q183" s="993">
        <f t="shared" si="43"/>
        <v>-22574.6</v>
      </c>
      <c r="R183" s="984" t="s">
        <v>956</v>
      </c>
      <c r="S183" s="996">
        <f>S180-S181-N193</f>
        <v>-1221786.5</v>
      </c>
    </row>
    <row r="184">
      <c r="J184" s="1010" t="s">
        <v>957</v>
      </c>
      <c r="K184" s="994"/>
      <c r="L184" s="1011"/>
      <c r="M184" s="1001"/>
      <c r="N184" s="1001"/>
      <c r="O184" s="1001"/>
      <c r="P184" s="1001"/>
      <c r="Q184" s="1001"/>
      <c r="R184" s="984" t="s">
        <v>275</v>
      </c>
      <c r="S184" s="1006">
        <f>S183/S180</f>
        <v>6.35602289</v>
      </c>
    </row>
    <row r="185">
      <c r="J185" s="1003" t="s">
        <v>958</v>
      </c>
      <c r="K185" s="1004">
        <v>1230.0</v>
      </c>
      <c r="L185" s="1005" t="s">
        <v>959</v>
      </c>
      <c r="M185" s="3"/>
      <c r="N185" s="993">
        <f>Q183+(Q182*K191)</f>
        <v>-24409.93333</v>
      </c>
      <c r="O185" s="1001"/>
      <c r="P185" s="1012" t="s">
        <v>960</v>
      </c>
      <c r="Q185" s="232"/>
      <c r="R185" s="232"/>
      <c r="S185" s="3"/>
    </row>
    <row r="186">
      <c r="J186" s="1014" t="s">
        <v>961</v>
      </c>
      <c r="K186" s="1004">
        <v>3.0</v>
      </c>
      <c r="L186" s="1005" t="s">
        <v>962</v>
      </c>
      <c r="M186" s="3"/>
      <c r="N186" s="993">
        <f>N185*K178+L179*K197*K178*110</f>
        <v>-700535.5</v>
      </c>
      <c r="O186" s="1015"/>
      <c r="P186" s="1016" t="s">
        <v>963</v>
      </c>
      <c r="Q186" s="1017">
        <v>567400.0</v>
      </c>
      <c r="R186" s="984" t="s">
        <v>964</v>
      </c>
      <c r="S186" s="998">
        <v>100000.0</v>
      </c>
    </row>
    <row r="187">
      <c r="J187" s="1014" t="s">
        <v>965</v>
      </c>
      <c r="K187" s="1004">
        <f>K178</f>
        <v>30</v>
      </c>
      <c r="L187" s="1005" t="s">
        <v>966</v>
      </c>
      <c r="M187" s="3"/>
      <c r="N187" s="984" t="s">
        <v>375</v>
      </c>
      <c r="O187" s="1010" t="s">
        <v>349</v>
      </c>
      <c r="P187" s="1018" t="s">
        <v>967</v>
      </c>
      <c r="Q187" s="1019">
        <f>L179*K192%*K178*300</f>
        <v>393750</v>
      </c>
      <c r="R187" s="995" t="s">
        <v>968</v>
      </c>
      <c r="S187" s="993">
        <v>26250.0</v>
      </c>
    </row>
    <row r="188">
      <c r="J188" s="1003" t="s">
        <v>969</v>
      </c>
      <c r="K188" s="1004">
        <v>1230.0</v>
      </c>
      <c r="L188" s="1005" t="s">
        <v>970</v>
      </c>
      <c r="M188" s="3"/>
      <c r="N188" s="998">
        <f t="shared" ref="N188:N189" si="44">K180*1.15</f>
        <v>368000</v>
      </c>
      <c r="O188" s="1020">
        <v>15000.0</v>
      </c>
      <c r="P188" s="1021" t="s">
        <v>971</v>
      </c>
      <c r="Q188" s="1019">
        <f>L179*K193*K178*100</f>
        <v>23625</v>
      </c>
      <c r="R188" s="1022" t="s">
        <v>972</v>
      </c>
      <c r="S188" s="993">
        <v>25000.0</v>
      </c>
    </row>
    <row r="189">
      <c r="J189" s="1003" t="s">
        <v>973</v>
      </c>
      <c r="K189" s="1004">
        <v>5.0</v>
      </c>
      <c r="L189" s="1005" t="s">
        <v>974</v>
      </c>
      <c r="M189" s="3"/>
      <c r="N189" s="998">
        <f t="shared" si="44"/>
        <v>310500</v>
      </c>
      <c r="O189" s="998">
        <v>15000.0</v>
      </c>
      <c r="P189" s="1018" t="s">
        <v>975</v>
      </c>
      <c r="Q189" s="1024">
        <f>L179*K194*K178*100</f>
        <v>97125</v>
      </c>
      <c r="R189" s="1025" t="s">
        <v>976</v>
      </c>
      <c r="S189" s="3"/>
    </row>
    <row r="190">
      <c r="J190" s="1003" t="s">
        <v>977</v>
      </c>
      <c r="K190" s="1004">
        <v>35.0</v>
      </c>
      <c r="L190" s="1026" t="s">
        <v>978</v>
      </c>
      <c r="M190" s="3"/>
      <c r="N190" s="998">
        <f>(K178*3.5-43.4)*K182*K183</f>
        <v>520520</v>
      </c>
      <c r="O190" s="998">
        <f>(K178*3.5-43.4)*K191</f>
        <v>36960</v>
      </c>
      <c r="P190" s="1018" t="s">
        <v>979</v>
      </c>
      <c r="Q190" s="1019">
        <f>L179*K195*K178*100</f>
        <v>34125</v>
      </c>
      <c r="R190" s="984" t="s">
        <v>964</v>
      </c>
      <c r="S190" s="993">
        <v>60000.0</v>
      </c>
    </row>
    <row r="191">
      <c r="J191" s="1022" t="s">
        <v>980</v>
      </c>
      <c r="K191" s="1027">
        <v>600.0</v>
      </c>
      <c r="L191" s="1000" t="s">
        <v>981</v>
      </c>
      <c r="M191" s="3"/>
      <c r="N191" s="998">
        <f>K185*K186*K187</f>
        <v>110700</v>
      </c>
      <c r="O191" s="998">
        <f>K187*K191</f>
        <v>18000</v>
      </c>
      <c r="P191" s="1021" t="s">
        <v>133</v>
      </c>
      <c r="Q191" s="1019">
        <f>L179*K196*K178*100</f>
        <v>23625</v>
      </c>
      <c r="R191" s="995" t="s">
        <v>968</v>
      </c>
      <c r="S191" s="993">
        <v>20000.0</v>
      </c>
    </row>
    <row r="192">
      <c r="J192" s="1028" t="s">
        <v>982</v>
      </c>
      <c r="K192" s="1029">
        <v>25.0</v>
      </c>
      <c r="L192" s="1000" t="s">
        <v>983</v>
      </c>
      <c r="M192" s="3"/>
      <c r="N192" s="998">
        <f>K188*K189*K190</f>
        <v>215250</v>
      </c>
      <c r="O192" s="998">
        <f>K190*K191</f>
        <v>21000</v>
      </c>
      <c r="P192" s="1018" t="s">
        <v>984</v>
      </c>
      <c r="Q192" s="1019">
        <f>L179*K197*K178*250</f>
        <v>72187.5</v>
      </c>
      <c r="R192" s="1022" t="s">
        <v>972</v>
      </c>
      <c r="S192" s="993">
        <v>19167.0</v>
      </c>
    </row>
    <row r="193">
      <c r="J193" s="984" t="s">
        <v>971</v>
      </c>
      <c r="K193" s="1006">
        <v>0.045</v>
      </c>
      <c r="L193" s="1000" t="s">
        <v>985</v>
      </c>
      <c r="M193" s="3"/>
      <c r="N193" s="998">
        <f>SUM(N188:O189)</f>
        <v>708500</v>
      </c>
      <c r="O193" s="1030"/>
      <c r="P193" s="984" t="s">
        <v>345</v>
      </c>
      <c r="Q193" s="996">
        <f>SUM(Q186:Q191)+SUM(S186:S188)</f>
        <v>1290900</v>
      </c>
      <c r="R193" s="984" t="s">
        <v>345</v>
      </c>
      <c r="S193" s="993">
        <f>S190+S191+S192</f>
        <v>99167</v>
      </c>
    </row>
    <row r="194">
      <c r="J194" s="1022" t="s">
        <v>986</v>
      </c>
      <c r="K194" s="1006">
        <v>0.185</v>
      </c>
      <c r="L194" s="975"/>
      <c r="M194" s="975"/>
      <c r="N194" s="975"/>
      <c r="O194" s="975"/>
      <c r="P194" s="975"/>
      <c r="Q194" s="975"/>
      <c r="R194" s="975"/>
      <c r="S194" s="975"/>
    </row>
    <row r="195">
      <c r="J195" s="1022" t="s">
        <v>987</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984</v>
      </c>
      <c r="K197" s="1006">
        <v>0.055</v>
      </c>
      <c r="L197" s="975"/>
      <c r="M197" s="975"/>
      <c r="N197" s="975"/>
      <c r="O197" s="975"/>
      <c r="P197" s="975"/>
      <c r="Q197" s="975"/>
      <c r="R197" s="975"/>
      <c r="S197" s="975"/>
    </row>
    <row r="199">
      <c r="J199" s="976" t="s">
        <v>940</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943</v>
      </c>
      <c r="K200" s="985">
        <f>DAY(EOMONTH(K199,0))</f>
        <v>31</v>
      </c>
      <c r="L200" s="986" t="s">
        <v>944</v>
      </c>
      <c r="M200" s="986" t="s">
        <v>277</v>
      </c>
      <c r="N200" s="986" t="s">
        <v>296</v>
      </c>
      <c r="O200" s="986" t="s">
        <v>298</v>
      </c>
      <c r="P200" s="986" t="s">
        <v>298</v>
      </c>
      <c r="Q200" s="986" t="s">
        <v>945</v>
      </c>
      <c r="R200" s="984" t="s">
        <v>946</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947</v>
      </c>
      <c r="S201" s="996">
        <f>Q215</f>
        <v>1309975</v>
      </c>
    </row>
    <row r="202">
      <c r="J202" s="984" t="s">
        <v>948</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949</v>
      </c>
      <c r="K203" s="1033">
        <v>270000.0</v>
      </c>
      <c r="L203" s="1000" t="s">
        <v>950</v>
      </c>
      <c r="M203" s="3"/>
      <c r="N203" s="1032">
        <v>23.9</v>
      </c>
      <c r="O203" s="1032">
        <v>29.75</v>
      </c>
      <c r="P203" s="994"/>
      <c r="Q203" s="1001"/>
      <c r="R203" s="984" t="s">
        <v>951</v>
      </c>
      <c r="S203" s="993">
        <f>N208+SUM(N212:O214)+S215</f>
        <v>333675.3167</v>
      </c>
    </row>
    <row r="204">
      <c r="J204" s="1003" t="s">
        <v>952</v>
      </c>
      <c r="K204" s="1004">
        <v>1300.0</v>
      </c>
      <c r="L204" s="1005" t="s">
        <v>953</v>
      </c>
      <c r="M204" s="3"/>
      <c r="N204" s="993">
        <f t="shared" ref="N204:O204" si="45">N202/(360/N203)</f>
        <v>-2.273819444</v>
      </c>
      <c r="O204" s="993">
        <f t="shared" si="45"/>
        <v>-0.7850694444</v>
      </c>
      <c r="P204" s="1001"/>
      <c r="Q204" s="993">
        <f t="shared" ref="Q204:Q205" si="46">N204+O204+P204</f>
        <v>-3.058888889</v>
      </c>
      <c r="R204" s="984" t="s">
        <v>276</v>
      </c>
      <c r="S204" s="1006">
        <f>S203/S202</f>
        <v>-1.499074821</v>
      </c>
    </row>
    <row r="205">
      <c r="J205" s="1008" t="s">
        <v>954</v>
      </c>
      <c r="K205" s="1004">
        <v>6.5</v>
      </c>
      <c r="L205" s="1009" t="s">
        <v>955</v>
      </c>
      <c r="M205" s="987">
        <v>1230.0</v>
      </c>
      <c r="N205" s="993">
        <f>N204*(M205*6)</f>
        <v>-16780.7875</v>
      </c>
      <c r="O205" s="993">
        <f>O204*(M205*6)</f>
        <v>-5793.8125</v>
      </c>
      <c r="P205" s="1001"/>
      <c r="Q205" s="993">
        <f t="shared" si="46"/>
        <v>-22574.6</v>
      </c>
      <c r="R205" s="984" t="s">
        <v>956</v>
      </c>
      <c r="S205" s="996">
        <f>S202-S203-N215</f>
        <v>-1264762.817</v>
      </c>
    </row>
    <row r="206">
      <c r="J206" s="1010" t="s">
        <v>957</v>
      </c>
      <c r="K206" s="994"/>
      <c r="L206" s="1011"/>
      <c r="M206" s="1001"/>
      <c r="N206" s="1001"/>
      <c r="O206" s="1001"/>
      <c r="P206" s="1001"/>
      <c r="Q206" s="1001"/>
      <c r="R206" s="984" t="s">
        <v>275</v>
      </c>
      <c r="S206" s="1006">
        <f>S205/S202</f>
        <v>5.682092735</v>
      </c>
    </row>
    <row r="207">
      <c r="J207" s="1003" t="s">
        <v>958</v>
      </c>
      <c r="K207" s="1004">
        <v>1230.0</v>
      </c>
      <c r="L207" s="1005" t="s">
        <v>959</v>
      </c>
      <c r="M207" s="3"/>
      <c r="N207" s="993">
        <f>Q205+(Q204*K213)</f>
        <v>-24409.93333</v>
      </c>
      <c r="O207" s="1001"/>
      <c r="P207" s="1012" t="s">
        <v>960</v>
      </c>
      <c r="Q207" s="232"/>
      <c r="R207" s="232"/>
      <c r="S207" s="3"/>
    </row>
    <row r="208">
      <c r="J208" s="1014" t="s">
        <v>961</v>
      </c>
      <c r="K208" s="1004">
        <v>3.0</v>
      </c>
      <c r="L208" s="1005" t="s">
        <v>962</v>
      </c>
      <c r="M208" s="3"/>
      <c r="N208" s="993">
        <f>N207*K200+L201*K219*K200*110</f>
        <v>-723886.6833</v>
      </c>
      <c r="O208" s="1015"/>
      <c r="P208" s="1016" t="s">
        <v>963</v>
      </c>
      <c r="Q208" s="1017">
        <v>567400.0</v>
      </c>
      <c r="R208" s="984" t="s">
        <v>964</v>
      </c>
      <c r="S208" s="998">
        <v>100000.0</v>
      </c>
    </row>
    <row r="209">
      <c r="J209" s="1014" t="s">
        <v>965</v>
      </c>
      <c r="K209" s="1004">
        <f>K200</f>
        <v>31</v>
      </c>
      <c r="L209" s="1005" t="s">
        <v>966</v>
      </c>
      <c r="M209" s="3"/>
      <c r="N209" s="984" t="s">
        <v>375</v>
      </c>
      <c r="O209" s="1010" t="s">
        <v>349</v>
      </c>
      <c r="P209" s="1018" t="s">
        <v>967</v>
      </c>
      <c r="Q209" s="1019">
        <f>L201*K214%*K200*300</f>
        <v>406875</v>
      </c>
      <c r="R209" s="995" t="s">
        <v>968</v>
      </c>
      <c r="S209" s="993">
        <v>26250.0</v>
      </c>
    </row>
    <row r="210">
      <c r="J210" s="1003" t="s">
        <v>969</v>
      </c>
      <c r="K210" s="1004">
        <v>1230.0</v>
      </c>
      <c r="L210" s="1005" t="s">
        <v>970</v>
      </c>
      <c r="M210" s="3"/>
      <c r="N210" s="998">
        <f t="shared" ref="N210:N211" si="47">K202*1.15</f>
        <v>368000</v>
      </c>
      <c r="O210" s="1020">
        <v>15000.0</v>
      </c>
      <c r="P210" s="1021" t="s">
        <v>971</v>
      </c>
      <c r="Q210" s="1019">
        <f>L201*K215*K200*100</f>
        <v>24412.5</v>
      </c>
      <c r="R210" s="1022" t="s">
        <v>972</v>
      </c>
      <c r="S210" s="993">
        <v>25000.0</v>
      </c>
    </row>
    <row r="211">
      <c r="J211" s="1003" t="s">
        <v>973</v>
      </c>
      <c r="K211" s="1004">
        <v>5.0</v>
      </c>
      <c r="L211" s="1005" t="s">
        <v>974</v>
      </c>
      <c r="M211" s="3"/>
      <c r="N211" s="998">
        <f t="shared" si="47"/>
        <v>310500</v>
      </c>
      <c r="O211" s="998">
        <v>15000.0</v>
      </c>
      <c r="P211" s="1018" t="s">
        <v>975</v>
      </c>
      <c r="Q211" s="1024">
        <f>L201*K216*K200*100</f>
        <v>100362.5</v>
      </c>
      <c r="R211" s="1025" t="s">
        <v>976</v>
      </c>
      <c r="S211" s="3"/>
    </row>
    <row r="212">
      <c r="J212" s="1003" t="s">
        <v>977</v>
      </c>
      <c r="K212" s="1004">
        <v>35.0</v>
      </c>
      <c r="L212" s="1026" t="s">
        <v>978</v>
      </c>
      <c r="M212" s="3"/>
      <c r="N212" s="998">
        <f>(K200*3.5-43.4)*K204*K205</f>
        <v>550095</v>
      </c>
      <c r="O212" s="998">
        <f>(K200*3.5-43.4)*K213</f>
        <v>39060</v>
      </c>
      <c r="P212" s="1018" t="s">
        <v>979</v>
      </c>
      <c r="Q212" s="1019">
        <f>L201*K217*K200*100</f>
        <v>35262.5</v>
      </c>
      <c r="R212" s="984" t="s">
        <v>964</v>
      </c>
      <c r="S212" s="993">
        <v>60000.0</v>
      </c>
    </row>
    <row r="213">
      <c r="J213" s="1022" t="s">
        <v>980</v>
      </c>
      <c r="K213" s="1027">
        <v>600.0</v>
      </c>
      <c r="L213" s="1000" t="s">
        <v>981</v>
      </c>
      <c r="M213" s="3"/>
      <c r="N213" s="998">
        <f>K207*K208*K209</f>
        <v>114390</v>
      </c>
      <c r="O213" s="998">
        <f>K209*K213</f>
        <v>18600</v>
      </c>
      <c r="P213" s="1021" t="s">
        <v>133</v>
      </c>
      <c r="Q213" s="1019">
        <f>L201*K218*K200*100</f>
        <v>24412.5</v>
      </c>
      <c r="R213" s="995" t="s">
        <v>968</v>
      </c>
      <c r="S213" s="993">
        <v>20000.0</v>
      </c>
    </row>
    <row r="214">
      <c r="J214" s="1028" t="s">
        <v>982</v>
      </c>
      <c r="K214" s="1029">
        <v>25.0</v>
      </c>
      <c r="L214" s="1000" t="s">
        <v>983</v>
      </c>
      <c r="M214" s="3"/>
      <c r="N214" s="998">
        <f>K210*K211*K212</f>
        <v>215250</v>
      </c>
      <c r="O214" s="998">
        <f>K212*K213</f>
        <v>21000</v>
      </c>
      <c r="P214" s="1018" t="s">
        <v>984</v>
      </c>
      <c r="Q214" s="1019">
        <f>L201*K219*K200*250</f>
        <v>74593.75</v>
      </c>
      <c r="R214" s="1022" t="s">
        <v>972</v>
      </c>
      <c r="S214" s="993">
        <v>19167.0</v>
      </c>
    </row>
    <row r="215">
      <c r="J215" s="984" t="s">
        <v>971</v>
      </c>
      <c r="K215" s="1006">
        <v>0.045</v>
      </c>
      <c r="L215" s="1000" t="s">
        <v>985</v>
      </c>
      <c r="M215" s="3"/>
      <c r="N215" s="998">
        <f>SUM(N210:O211)</f>
        <v>708500</v>
      </c>
      <c r="O215" s="1030"/>
      <c r="P215" s="984" t="s">
        <v>345</v>
      </c>
      <c r="Q215" s="996">
        <f>SUM(Q208:Q213)+SUM(S208:S210)</f>
        <v>1309975</v>
      </c>
      <c r="R215" s="984" t="s">
        <v>345</v>
      </c>
      <c r="S215" s="993">
        <f>S212+S213+S214</f>
        <v>99167</v>
      </c>
    </row>
    <row r="216">
      <c r="J216" s="1022" t="s">
        <v>986</v>
      </c>
      <c r="K216" s="1006">
        <v>0.185</v>
      </c>
      <c r="L216" s="975"/>
      <c r="M216" s="975"/>
      <c r="N216" s="975"/>
      <c r="O216" s="975"/>
      <c r="P216" s="975"/>
      <c r="Q216" s="975"/>
      <c r="R216" s="975"/>
      <c r="S216" s="975"/>
    </row>
    <row r="217">
      <c r="J217" s="1022" t="s">
        <v>987</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984</v>
      </c>
      <c r="K219" s="1006">
        <v>0.055</v>
      </c>
      <c r="L219" s="975"/>
      <c r="M219" s="975"/>
      <c r="N219" s="975"/>
      <c r="O219" s="975"/>
      <c r="P219" s="975"/>
      <c r="Q219" s="975"/>
      <c r="R219" s="975"/>
      <c r="S219" s="975"/>
    </row>
    <row r="221">
      <c r="J221" s="976" t="s">
        <v>940</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943</v>
      </c>
      <c r="K222" s="985">
        <f>DAY(EOMONTH(K221,0))</f>
        <v>30</v>
      </c>
      <c r="L222" s="986" t="s">
        <v>944</v>
      </c>
      <c r="M222" s="986" t="s">
        <v>277</v>
      </c>
      <c r="N222" s="986" t="s">
        <v>296</v>
      </c>
      <c r="O222" s="986" t="s">
        <v>298</v>
      </c>
      <c r="P222" s="986" t="s">
        <v>298</v>
      </c>
      <c r="Q222" s="986" t="s">
        <v>945</v>
      </c>
      <c r="R222" s="984" t="s">
        <v>946</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947</v>
      </c>
      <c r="S223" s="996">
        <f>Q237</f>
        <v>1363087.5</v>
      </c>
    </row>
    <row r="224">
      <c r="J224" s="984" t="s">
        <v>948</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949</v>
      </c>
      <c r="K225" s="1033">
        <v>270000.0</v>
      </c>
      <c r="L225" s="1000" t="s">
        <v>950</v>
      </c>
      <c r="M225" s="3"/>
      <c r="N225" s="987">
        <v>22.926</v>
      </c>
      <c r="O225" s="987">
        <v>28.78</v>
      </c>
      <c r="P225" s="994"/>
      <c r="Q225" s="1001"/>
      <c r="R225" s="984" t="s">
        <v>951</v>
      </c>
      <c r="S225" s="993">
        <f>N230+SUM(N234:O236)+S237</f>
        <v>344873.5425</v>
      </c>
    </row>
    <row r="226">
      <c r="J226" s="1003" t="s">
        <v>952</v>
      </c>
      <c r="K226" s="1004">
        <v>1300.0</v>
      </c>
      <c r="L226" s="1005" t="s">
        <v>953</v>
      </c>
      <c r="M226" s="3"/>
      <c r="N226" s="993">
        <f t="shared" ref="N226:O226" si="48">N224/(360/N225)</f>
        <v>-2.181154167</v>
      </c>
      <c r="O226" s="993">
        <f t="shared" si="48"/>
        <v>-0.7594722222</v>
      </c>
      <c r="P226" s="1001"/>
      <c r="Q226" s="993">
        <f t="shared" ref="Q226:Q227" si="49">N226+O226+P226</f>
        <v>-2.940626389</v>
      </c>
      <c r="R226" s="984" t="s">
        <v>276</v>
      </c>
      <c r="S226" s="1006">
        <f>S225/S224</f>
        <v>-2.87304836</v>
      </c>
    </row>
    <row r="227">
      <c r="J227" s="1008" t="s">
        <v>954</v>
      </c>
      <c r="K227" s="1004">
        <v>6.5</v>
      </c>
      <c r="L227" s="1009" t="s">
        <v>955</v>
      </c>
      <c r="M227" s="987">
        <v>1230.0</v>
      </c>
      <c r="N227" s="993">
        <f>N226*(M227*6)</f>
        <v>-16096.91775</v>
      </c>
      <c r="O227" s="993">
        <f>O226*(M227*6)</f>
        <v>-5604.905</v>
      </c>
      <c r="P227" s="1001"/>
      <c r="Q227" s="993">
        <f t="shared" si="49"/>
        <v>-21701.82275</v>
      </c>
      <c r="R227" s="984" t="s">
        <v>956</v>
      </c>
      <c r="S227" s="996">
        <f>S224-S225-N237</f>
        <v>-1173411.043</v>
      </c>
    </row>
    <row r="228">
      <c r="J228" s="1010" t="s">
        <v>957</v>
      </c>
      <c r="K228" s="994"/>
      <c r="L228" s="1011"/>
      <c r="M228" s="1001"/>
      <c r="N228" s="1001"/>
      <c r="O228" s="1001"/>
      <c r="P228" s="1001"/>
      <c r="Q228" s="1001"/>
      <c r="R228" s="984" t="s">
        <v>275</v>
      </c>
      <c r="S228" s="1006">
        <f>S227/S224</f>
        <v>9.775370551</v>
      </c>
    </row>
    <row r="229">
      <c r="J229" s="1003" t="s">
        <v>958</v>
      </c>
      <c r="K229" s="1004">
        <v>1230.0</v>
      </c>
      <c r="L229" s="1005" t="s">
        <v>959</v>
      </c>
      <c r="M229" s="3"/>
      <c r="N229" s="993">
        <f>Q227+(Q226*K235)</f>
        <v>-23466.19858</v>
      </c>
      <c r="O229" s="1001"/>
      <c r="P229" s="1012" t="s">
        <v>960</v>
      </c>
      <c r="Q229" s="232"/>
      <c r="R229" s="232"/>
      <c r="S229" s="3"/>
    </row>
    <row r="230">
      <c r="J230" s="1014" t="s">
        <v>961</v>
      </c>
      <c r="K230" s="1004">
        <v>3.0</v>
      </c>
      <c r="L230" s="1005" t="s">
        <v>962</v>
      </c>
      <c r="M230" s="3"/>
      <c r="N230" s="993">
        <f>N229*K222+(L223*K241*K222*110)+(L223*K236%*K222*100)</f>
        <v>-540973.4575</v>
      </c>
      <c r="O230" s="1015"/>
      <c r="P230" s="1016" t="s">
        <v>963</v>
      </c>
      <c r="Q230" s="1017">
        <v>567400.0</v>
      </c>
      <c r="R230" s="984" t="s">
        <v>964</v>
      </c>
      <c r="S230" s="998">
        <v>100000.0</v>
      </c>
    </row>
    <row r="231">
      <c r="J231" s="1014" t="s">
        <v>965</v>
      </c>
      <c r="K231" s="1004">
        <f>K222</f>
        <v>30</v>
      </c>
      <c r="L231" s="1005" t="s">
        <v>966</v>
      </c>
      <c r="M231" s="3"/>
      <c r="N231" s="984" t="s">
        <v>375</v>
      </c>
      <c r="O231" s="1010" t="s">
        <v>349</v>
      </c>
      <c r="P231" s="1018" t="s">
        <v>967</v>
      </c>
      <c r="Q231" s="1019">
        <f>L223*K236%*K222*300</f>
        <v>393750</v>
      </c>
      <c r="R231" s="995" t="s">
        <v>968</v>
      </c>
      <c r="S231" s="993">
        <v>26250.0</v>
      </c>
    </row>
    <row r="232">
      <c r="J232" s="1003" t="s">
        <v>969</v>
      </c>
      <c r="K232" s="1004">
        <v>1230.0</v>
      </c>
      <c r="L232" s="1005" t="s">
        <v>970</v>
      </c>
      <c r="M232" s="3"/>
      <c r="N232" s="998">
        <f t="shared" ref="N232:N233" si="50">K224*1.15</f>
        <v>368000</v>
      </c>
      <c r="O232" s="1020">
        <v>15000.0</v>
      </c>
      <c r="P232" s="1021" t="s">
        <v>971</v>
      </c>
      <c r="Q232" s="1019">
        <f>L223*K237*K222*100</f>
        <v>23625</v>
      </c>
      <c r="R232" s="1022" t="s">
        <v>972</v>
      </c>
      <c r="S232" s="993">
        <v>25000.0</v>
      </c>
    </row>
    <row r="233">
      <c r="J233" s="1003" t="s">
        <v>973</v>
      </c>
      <c r="K233" s="1004">
        <v>5.0</v>
      </c>
      <c r="L233" s="1005" t="s">
        <v>974</v>
      </c>
      <c r="M233" s="3"/>
      <c r="N233" s="998">
        <f t="shared" si="50"/>
        <v>310500</v>
      </c>
      <c r="O233" s="998">
        <v>15000.0</v>
      </c>
      <c r="P233" s="1018" t="s">
        <v>975</v>
      </c>
      <c r="Q233" s="1024">
        <f>L223*K238*K222*100</f>
        <v>97125</v>
      </c>
      <c r="R233" s="1025" t="s">
        <v>976</v>
      </c>
      <c r="S233" s="3"/>
    </row>
    <row r="234">
      <c r="J234" s="1003" t="s">
        <v>977</v>
      </c>
      <c r="K234" s="1004">
        <v>35.0</v>
      </c>
      <c r="L234" s="1026" t="s">
        <v>978</v>
      </c>
      <c r="M234" s="3"/>
      <c r="N234" s="998">
        <f>(K222*3-43.4)*K226*K227</f>
        <v>393770</v>
      </c>
      <c r="O234" s="998">
        <f>(K222*3-43.4)*K235</f>
        <v>27960</v>
      </c>
      <c r="P234" s="1018" t="s">
        <v>979</v>
      </c>
      <c r="Q234" s="1019">
        <f>L223*K239*K222*100</f>
        <v>34125</v>
      </c>
      <c r="R234" s="984" t="s">
        <v>964</v>
      </c>
      <c r="S234" s="993">
        <v>60000.0</v>
      </c>
    </row>
    <row r="235">
      <c r="J235" s="1022" t="s">
        <v>980</v>
      </c>
      <c r="K235" s="1027">
        <v>600.0</v>
      </c>
      <c r="L235" s="1000" t="s">
        <v>981</v>
      </c>
      <c r="M235" s="3"/>
      <c r="N235" s="998">
        <f>K229*K230*K231</f>
        <v>110700</v>
      </c>
      <c r="O235" s="998">
        <f>K231*K235</f>
        <v>18000</v>
      </c>
      <c r="P235" s="1021" t="s">
        <v>133</v>
      </c>
      <c r="Q235" s="1019">
        <f>L223*K240*K222*100</f>
        <v>23625</v>
      </c>
      <c r="R235" s="995" t="s">
        <v>968</v>
      </c>
      <c r="S235" s="993">
        <v>20000.0</v>
      </c>
    </row>
    <row r="236">
      <c r="J236" s="1028" t="s">
        <v>982</v>
      </c>
      <c r="K236" s="1029">
        <v>25.0</v>
      </c>
      <c r="L236" s="1000" t="s">
        <v>983</v>
      </c>
      <c r="M236" s="3"/>
      <c r="N236" s="998">
        <f>K232*K233*K234</f>
        <v>215250</v>
      </c>
      <c r="O236" s="998">
        <f>K234*K235</f>
        <v>21000</v>
      </c>
      <c r="P236" s="1018" t="s">
        <v>984</v>
      </c>
      <c r="Q236" s="1019">
        <f>L223*K241*K222*250</f>
        <v>72187.5</v>
      </c>
      <c r="R236" s="1022" t="s">
        <v>972</v>
      </c>
      <c r="S236" s="993">
        <v>19167.0</v>
      </c>
    </row>
    <row r="237">
      <c r="J237" s="984" t="s">
        <v>971</v>
      </c>
      <c r="K237" s="1006">
        <v>0.045</v>
      </c>
      <c r="L237" s="1000" t="s">
        <v>985</v>
      </c>
      <c r="M237" s="3"/>
      <c r="N237" s="998">
        <f>SUM(N232:O233)</f>
        <v>708500</v>
      </c>
      <c r="O237" s="1030"/>
      <c r="P237" s="984" t="s">
        <v>345</v>
      </c>
      <c r="Q237" s="996">
        <f>SUM(Q230:Q236)+SUM(S230:S232)</f>
        <v>1363087.5</v>
      </c>
      <c r="R237" s="984" t="s">
        <v>345</v>
      </c>
      <c r="S237" s="993">
        <f>S234+S235+S236</f>
        <v>99167</v>
      </c>
    </row>
    <row r="238">
      <c r="J238" s="1022" t="s">
        <v>986</v>
      </c>
      <c r="K238" s="1006">
        <v>0.185</v>
      </c>
      <c r="L238" s="975"/>
      <c r="M238" s="975"/>
      <c r="N238" s="975"/>
      <c r="O238" s="975"/>
      <c r="P238" s="975"/>
      <c r="Q238" s="975"/>
      <c r="R238" s="975"/>
      <c r="S238" s="975"/>
    </row>
    <row r="239">
      <c r="J239" s="1022" t="s">
        <v>987</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984</v>
      </c>
      <c r="K241" s="1006">
        <v>0.055</v>
      </c>
      <c r="L241" s="975"/>
      <c r="M241" s="975"/>
      <c r="N241" s="975"/>
      <c r="O241" s="975"/>
      <c r="P241" s="975"/>
      <c r="Q241" s="975"/>
      <c r="R241" s="975"/>
      <c r="S241" s="975"/>
    </row>
    <row r="243">
      <c r="J243" s="976" t="s">
        <v>940</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943</v>
      </c>
      <c r="K244" s="985">
        <f>DAY(EOMONTH(K243,0))</f>
        <v>31</v>
      </c>
      <c r="L244" s="986" t="s">
        <v>944</v>
      </c>
      <c r="M244" s="986" t="s">
        <v>277</v>
      </c>
      <c r="N244" s="986" t="s">
        <v>296</v>
      </c>
      <c r="O244" s="986" t="s">
        <v>298</v>
      </c>
      <c r="P244" s="986" t="s">
        <v>298</v>
      </c>
      <c r="Q244" s="986" t="s">
        <v>945</v>
      </c>
      <c r="R244" s="984" t="s">
        <v>946</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947</v>
      </c>
      <c r="S245" s="996">
        <f>Q259</f>
        <v>1384568.75</v>
      </c>
    </row>
    <row r="246">
      <c r="J246" s="984" t="s">
        <v>948</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949</v>
      </c>
      <c r="K247" s="1033">
        <v>270000.0</v>
      </c>
      <c r="L247" s="1000" t="s">
        <v>950</v>
      </c>
      <c r="M247" s="3"/>
      <c r="N247" s="987">
        <v>22.926</v>
      </c>
      <c r="O247" s="987">
        <v>28.78</v>
      </c>
      <c r="P247" s="994"/>
      <c r="Q247" s="1001"/>
      <c r="R247" s="984" t="s">
        <v>951</v>
      </c>
      <c r="S247" s="993">
        <f>N252+SUM(N256:O258)+S259</f>
        <v>358281.0939</v>
      </c>
    </row>
    <row r="248">
      <c r="J248" s="1003" t="s">
        <v>952</v>
      </c>
      <c r="K248" s="1004">
        <v>1300.0</v>
      </c>
      <c r="L248" s="1005" t="s">
        <v>953</v>
      </c>
      <c r="M248" s="3"/>
      <c r="N248" s="993">
        <f t="shared" ref="N248:O248" si="51">N246/(360/N247)</f>
        <v>-2.181154167</v>
      </c>
      <c r="O248" s="993">
        <f t="shared" si="51"/>
        <v>-0.7594722222</v>
      </c>
      <c r="P248" s="1001"/>
      <c r="Q248" s="993">
        <f t="shared" ref="Q248:Q249" si="52">N248+O248+P248</f>
        <v>-2.940626389</v>
      </c>
      <c r="R248" s="984" t="s">
        <v>276</v>
      </c>
      <c r="S248" s="1006">
        <f>S247/S246</f>
        <v>-2.420920437</v>
      </c>
    </row>
    <row r="249">
      <c r="J249" s="1008" t="s">
        <v>954</v>
      </c>
      <c r="K249" s="1004">
        <v>6.5</v>
      </c>
      <c r="L249" s="1009" t="s">
        <v>955</v>
      </c>
      <c r="M249" s="987">
        <v>1230.0</v>
      </c>
      <c r="N249" s="993">
        <f>N248*(M249*6)</f>
        <v>-16096.91775</v>
      </c>
      <c r="O249" s="993">
        <f>O248*(M249*6)</f>
        <v>-5604.905</v>
      </c>
      <c r="P249" s="1001"/>
      <c r="Q249" s="993">
        <f t="shared" si="52"/>
        <v>-21701.82275</v>
      </c>
      <c r="R249" s="984" t="s">
        <v>956</v>
      </c>
      <c r="S249" s="996">
        <f>S246-S247-N259</f>
        <v>-1214774.844</v>
      </c>
    </row>
    <row r="250">
      <c r="J250" s="1010" t="s">
        <v>957</v>
      </c>
      <c r="K250" s="994"/>
      <c r="L250" s="1011"/>
      <c r="M250" s="1001"/>
      <c r="N250" s="1001"/>
      <c r="O250" s="1001"/>
      <c r="P250" s="1001"/>
      <c r="Q250" s="1001"/>
      <c r="R250" s="984" t="s">
        <v>275</v>
      </c>
      <c r="S250" s="1006">
        <f>S249/S246</f>
        <v>8.208284768</v>
      </c>
    </row>
    <row r="251">
      <c r="J251" s="1003" t="s">
        <v>958</v>
      </c>
      <c r="K251" s="1004">
        <v>1230.0</v>
      </c>
      <c r="L251" s="1005" t="s">
        <v>959</v>
      </c>
      <c r="M251" s="3"/>
      <c r="N251" s="993">
        <f>Q249+(Q248*K257)</f>
        <v>-23466.19858</v>
      </c>
      <c r="O251" s="1001"/>
      <c r="P251" s="1012" t="s">
        <v>960</v>
      </c>
      <c r="Q251" s="232"/>
      <c r="R251" s="232"/>
      <c r="S251" s="3"/>
    </row>
    <row r="252">
      <c r="J252" s="1014" t="s">
        <v>961</v>
      </c>
      <c r="K252" s="1004">
        <v>3.0</v>
      </c>
      <c r="L252" s="1005" t="s">
        <v>962</v>
      </c>
      <c r="M252" s="3"/>
      <c r="N252" s="993">
        <f>N251*K244+(L245*K263*K244*110)+(L245*K258%*K244*100)</f>
        <v>-559005.9061</v>
      </c>
      <c r="O252" s="1015"/>
      <c r="P252" s="1016" t="s">
        <v>963</v>
      </c>
      <c r="Q252" s="1017">
        <v>567400.0</v>
      </c>
      <c r="R252" s="984" t="s">
        <v>964</v>
      </c>
      <c r="S252" s="998">
        <v>100000.0</v>
      </c>
    </row>
    <row r="253">
      <c r="J253" s="1014" t="s">
        <v>965</v>
      </c>
      <c r="K253" s="1004">
        <f>K244</f>
        <v>31</v>
      </c>
      <c r="L253" s="1005" t="s">
        <v>966</v>
      </c>
      <c r="M253" s="3"/>
      <c r="N253" s="984" t="s">
        <v>375</v>
      </c>
      <c r="O253" s="1010" t="s">
        <v>349</v>
      </c>
      <c r="P253" s="1018" t="s">
        <v>967</v>
      </c>
      <c r="Q253" s="1019">
        <f>L245*K258%*K244*300</f>
        <v>406875</v>
      </c>
      <c r="R253" s="995" t="s">
        <v>968</v>
      </c>
      <c r="S253" s="993">
        <v>26250.0</v>
      </c>
    </row>
    <row r="254">
      <c r="J254" s="1003" t="s">
        <v>969</v>
      </c>
      <c r="K254" s="1004">
        <v>1230.0</v>
      </c>
      <c r="L254" s="1005" t="s">
        <v>970</v>
      </c>
      <c r="M254" s="3"/>
      <c r="N254" s="998">
        <f t="shared" ref="N254:N255" si="53">K246*1.15</f>
        <v>368000</v>
      </c>
      <c r="O254" s="1020">
        <v>15000.0</v>
      </c>
      <c r="P254" s="1021" t="s">
        <v>971</v>
      </c>
      <c r="Q254" s="1019">
        <f>L245*K259*K244*100</f>
        <v>24412.5</v>
      </c>
      <c r="R254" s="1022" t="s">
        <v>972</v>
      </c>
      <c r="S254" s="993">
        <v>25000.0</v>
      </c>
    </row>
    <row r="255">
      <c r="J255" s="1003" t="s">
        <v>973</v>
      </c>
      <c r="K255" s="1004">
        <v>5.0</v>
      </c>
      <c r="L255" s="1005" t="s">
        <v>974</v>
      </c>
      <c r="M255" s="3"/>
      <c r="N255" s="998">
        <f t="shared" si="53"/>
        <v>310500</v>
      </c>
      <c r="O255" s="998">
        <v>15000.0</v>
      </c>
      <c r="P255" s="1018" t="s">
        <v>975</v>
      </c>
      <c r="Q255" s="1024">
        <f>L245*K260*K244*100</f>
        <v>100362.5</v>
      </c>
      <c r="R255" s="1025" t="s">
        <v>976</v>
      </c>
      <c r="S255" s="3"/>
    </row>
    <row r="256">
      <c r="J256" s="1003" t="s">
        <v>977</v>
      </c>
      <c r="K256" s="1004">
        <v>35.0</v>
      </c>
      <c r="L256" s="1026" t="s">
        <v>978</v>
      </c>
      <c r="M256" s="3"/>
      <c r="N256" s="998">
        <f>(K244*3-43.4)*K248*K249</f>
        <v>419120</v>
      </c>
      <c r="O256" s="998">
        <f>(K244*3-43.4)*K257</f>
        <v>29760</v>
      </c>
      <c r="P256" s="1018" t="s">
        <v>979</v>
      </c>
      <c r="Q256" s="1019">
        <f>L245*K261*K244*100</f>
        <v>35262.5</v>
      </c>
      <c r="R256" s="984" t="s">
        <v>964</v>
      </c>
      <c r="S256" s="993">
        <v>60000.0</v>
      </c>
    </row>
    <row r="257">
      <c r="J257" s="1022" t="s">
        <v>980</v>
      </c>
      <c r="K257" s="1027">
        <v>600.0</v>
      </c>
      <c r="L257" s="1000" t="s">
        <v>981</v>
      </c>
      <c r="M257" s="3"/>
      <c r="N257" s="998">
        <f>K251*K252*K253</f>
        <v>114390</v>
      </c>
      <c r="O257" s="998">
        <f>K253*K257</f>
        <v>18600</v>
      </c>
      <c r="P257" s="1021" t="s">
        <v>133</v>
      </c>
      <c r="Q257" s="1019">
        <f>L245*K262*K244*100</f>
        <v>24412.5</v>
      </c>
      <c r="R257" s="995" t="s">
        <v>968</v>
      </c>
      <c r="S257" s="993">
        <v>20000.0</v>
      </c>
    </row>
    <row r="258">
      <c r="J258" s="1028" t="s">
        <v>982</v>
      </c>
      <c r="K258" s="1029">
        <v>25.0</v>
      </c>
      <c r="L258" s="1031" t="s">
        <v>988</v>
      </c>
      <c r="M258" s="3"/>
      <c r="N258" s="998">
        <f>K254*K255*K256</f>
        <v>215250</v>
      </c>
      <c r="O258" s="998">
        <f>K256*K257</f>
        <v>21000</v>
      </c>
      <c r="P258" s="1018" t="s">
        <v>984</v>
      </c>
      <c r="Q258" s="1019">
        <f>L245*K263*K244*250</f>
        <v>74593.75</v>
      </c>
      <c r="R258" s="1022" t="s">
        <v>972</v>
      </c>
      <c r="S258" s="993">
        <v>19167.0</v>
      </c>
    </row>
    <row r="259">
      <c r="J259" s="984" t="s">
        <v>971</v>
      </c>
      <c r="K259" s="1006">
        <v>0.045</v>
      </c>
      <c r="L259" s="1000" t="s">
        <v>985</v>
      </c>
      <c r="M259" s="3"/>
      <c r="N259" s="998">
        <f>SUM(N254:O255)</f>
        <v>708500</v>
      </c>
      <c r="O259" s="1030"/>
      <c r="P259" s="984" t="s">
        <v>345</v>
      </c>
      <c r="Q259" s="996">
        <f>SUM(Q252:Q258)+SUM(S252:S254)</f>
        <v>1384568.75</v>
      </c>
      <c r="R259" s="984" t="s">
        <v>345</v>
      </c>
      <c r="S259" s="993">
        <f>S256+S257+S258</f>
        <v>99167</v>
      </c>
    </row>
    <row r="260">
      <c r="J260" s="1022" t="s">
        <v>986</v>
      </c>
      <c r="K260" s="1006">
        <v>0.185</v>
      </c>
      <c r="L260" s="975"/>
      <c r="M260" s="975"/>
      <c r="N260" s="975"/>
      <c r="O260" s="975"/>
      <c r="P260" s="975"/>
      <c r="Q260" s="975"/>
      <c r="R260" s="975"/>
      <c r="S260" s="975"/>
    </row>
    <row r="261">
      <c r="J261" s="1022" t="s">
        <v>987</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984</v>
      </c>
      <c r="K263" s="1006">
        <v>0.055</v>
      </c>
      <c r="L263" s="975"/>
      <c r="M263" s="975"/>
      <c r="N263" s="975"/>
      <c r="O263" s="975"/>
      <c r="P263" s="975"/>
      <c r="Q263" s="975"/>
      <c r="R263" s="975"/>
      <c r="S263" s="975"/>
    </row>
    <row r="265">
      <c r="J265" s="976" t="s">
        <v>940</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943</v>
      </c>
      <c r="K266" s="985">
        <f>DAY(EOMONTH(K265,0))</f>
        <v>31</v>
      </c>
      <c r="L266" s="986" t="s">
        <v>944</v>
      </c>
      <c r="M266" s="986" t="s">
        <v>277</v>
      </c>
      <c r="N266" s="986" t="s">
        <v>296</v>
      </c>
      <c r="O266" s="986" t="s">
        <v>298</v>
      </c>
      <c r="P266" s="986" t="s">
        <v>298</v>
      </c>
      <c r="Q266" s="986" t="s">
        <v>945</v>
      </c>
      <c r="R266" s="984" t="s">
        <v>946</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947</v>
      </c>
      <c r="S267" s="996">
        <f>Q281</f>
        <v>1384568.75</v>
      </c>
    </row>
    <row r="268">
      <c r="J268" s="984" t="s">
        <v>948</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949</v>
      </c>
      <c r="K269" s="1033">
        <v>270000.0</v>
      </c>
      <c r="L269" s="1000" t="s">
        <v>950</v>
      </c>
      <c r="M269" s="3"/>
      <c r="N269" s="987">
        <v>22.926</v>
      </c>
      <c r="O269" s="987">
        <v>28.78</v>
      </c>
      <c r="P269" s="994"/>
      <c r="Q269" s="1001"/>
      <c r="R269" s="984" t="s">
        <v>951</v>
      </c>
      <c r="S269" s="993">
        <f>N274+SUM(N278:O280)+S281</f>
        <v>358281.0939</v>
      </c>
    </row>
    <row r="270">
      <c r="J270" s="1003" t="s">
        <v>952</v>
      </c>
      <c r="K270" s="1004">
        <v>1300.0</v>
      </c>
      <c r="L270" s="1005" t="s">
        <v>953</v>
      </c>
      <c r="M270" s="3"/>
      <c r="N270" s="993">
        <f t="shared" ref="N270:O270" si="54">N268/(360/N269)</f>
        <v>-2.181154167</v>
      </c>
      <c r="O270" s="993">
        <f t="shared" si="54"/>
        <v>-0.7594722222</v>
      </c>
      <c r="P270" s="1001"/>
      <c r="Q270" s="993">
        <f t="shared" ref="Q270:Q271" si="55">N270+O270+P270</f>
        <v>-2.940626389</v>
      </c>
      <c r="R270" s="984" t="s">
        <v>276</v>
      </c>
      <c r="S270" s="1006">
        <f>S269/S268</f>
        <v>-2.420920437</v>
      </c>
    </row>
    <row r="271">
      <c r="J271" s="1008" t="s">
        <v>954</v>
      </c>
      <c r="K271" s="1004">
        <v>6.5</v>
      </c>
      <c r="L271" s="1009" t="s">
        <v>955</v>
      </c>
      <c r="M271" s="987">
        <v>1230.0</v>
      </c>
      <c r="N271" s="993">
        <f>N270*(M271*6)</f>
        <v>-16096.91775</v>
      </c>
      <c r="O271" s="993">
        <f>O270*(M271*6)</f>
        <v>-5604.905</v>
      </c>
      <c r="P271" s="1001"/>
      <c r="Q271" s="993">
        <f t="shared" si="55"/>
        <v>-21701.82275</v>
      </c>
      <c r="R271" s="984" t="s">
        <v>956</v>
      </c>
      <c r="S271" s="996">
        <f>S268-S269-N281</f>
        <v>-1214774.844</v>
      </c>
    </row>
    <row r="272">
      <c r="J272" s="1010" t="s">
        <v>957</v>
      </c>
      <c r="K272" s="994"/>
      <c r="L272" s="1011"/>
      <c r="M272" s="1001"/>
      <c r="N272" s="1001"/>
      <c r="O272" s="1001"/>
      <c r="P272" s="1001"/>
      <c r="Q272" s="1001"/>
      <c r="R272" s="984" t="s">
        <v>275</v>
      </c>
      <c r="S272" s="1006">
        <f>S271/S268</f>
        <v>8.208284768</v>
      </c>
    </row>
    <row r="273">
      <c r="J273" s="1003" t="s">
        <v>958</v>
      </c>
      <c r="K273" s="1004">
        <v>1230.0</v>
      </c>
      <c r="L273" s="1005" t="s">
        <v>959</v>
      </c>
      <c r="M273" s="3"/>
      <c r="N273" s="993">
        <f>Q271+(Q270*K279)</f>
        <v>-23466.19858</v>
      </c>
      <c r="O273" s="1001"/>
      <c r="P273" s="1012" t="s">
        <v>960</v>
      </c>
      <c r="Q273" s="232"/>
      <c r="R273" s="232"/>
      <c r="S273" s="3"/>
    </row>
    <row r="274">
      <c r="J274" s="1014" t="s">
        <v>961</v>
      </c>
      <c r="K274" s="1004">
        <v>3.0</v>
      </c>
      <c r="L274" s="1005" t="s">
        <v>962</v>
      </c>
      <c r="M274" s="3"/>
      <c r="N274" s="993">
        <f>N273*K266+(L267*K285*K266*110)+(L267*K280%*K266*100)</f>
        <v>-559005.9061</v>
      </c>
      <c r="O274" s="1015"/>
      <c r="P274" s="1016" t="s">
        <v>963</v>
      </c>
      <c r="Q274" s="1017">
        <v>567400.0</v>
      </c>
      <c r="R274" s="984" t="s">
        <v>964</v>
      </c>
      <c r="S274" s="998">
        <v>100000.0</v>
      </c>
    </row>
    <row r="275">
      <c r="J275" s="1014" t="s">
        <v>965</v>
      </c>
      <c r="K275" s="1004">
        <f>K266</f>
        <v>31</v>
      </c>
      <c r="L275" s="1005" t="s">
        <v>966</v>
      </c>
      <c r="M275" s="3"/>
      <c r="N275" s="984" t="s">
        <v>375</v>
      </c>
      <c r="O275" s="1010" t="s">
        <v>349</v>
      </c>
      <c r="P275" s="1018" t="s">
        <v>967</v>
      </c>
      <c r="Q275" s="1019">
        <f>L267*K280%*K266*300</f>
        <v>406875</v>
      </c>
      <c r="R275" s="995" t="s">
        <v>968</v>
      </c>
      <c r="S275" s="993">
        <v>26250.0</v>
      </c>
    </row>
    <row r="276">
      <c r="J276" s="1003" t="s">
        <v>969</v>
      </c>
      <c r="K276" s="1004">
        <v>1230.0</v>
      </c>
      <c r="L276" s="1005" t="s">
        <v>970</v>
      </c>
      <c r="M276" s="3"/>
      <c r="N276" s="998">
        <f t="shared" ref="N276:N277" si="56">K268*1.15</f>
        <v>368000</v>
      </c>
      <c r="O276" s="1020">
        <v>15000.0</v>
      </c>
      <c r="P276" s="1021" t="s">
        <v>971</v>
      </c>
      <c r="Q276" s="1019">
        <f>L267*K281*K266*100</f>
        <v>24412.5</v>
      </c>
      <c r="R276" s="1022" t="s">
        <v>972</v>
      </c>
      <c r="S276" s="993">
        <v>25000.0</v>
      </c>
    </row>
    <row r="277">
      <c r="J277" s="1003" t="s">
        <v>973</v>
      </c>
      <c r="K277" s="1004">
        <v>5.0</v>
      </c>
      <c r="L277" s="1005" t="s">
        <v>974</v>
      </c>
      <c r="M277" s="3"/>
      <c r="N277" s="998">
        <f t="shared" si="56"/>
        <v>310500</v>
      </c>
      <c r="O277" s="998">
        <v>15000.0</v>
      </c>
      <c r="P277" s="1018" t="s">
        <v>975</v>
      </c>
      <c r="Q277" s="1024">
        <f>L267*K282*K266*100</f>
        <v>100362.5</v>
      </c>
      <c r="R277" s="1025" t="s">
        <v>976</v>
      </c>
      <c r="S277" s="3"/>
    </row>
    <row r="278">
      <c r="J278" s="1003" t="s">
        <v>977</v>
      </c>
      <c r="K278" s="1004">
        <v>35.0</v>
      </c>
      <c r="L278" s="1026" t="s">
        <v>978</v>
      </c>
      <c r="M278" s="3"/>
      <c r="N278" s="998">
        <f>(K266*3-43.4)*K270*K271</f>
        <v>419120</v>
      </c>
      <c r="O278" s="998">
        <f>(K266*3-43.4)*K279</f>
        <v>29760</v>
      </c>
      <c r="P278" s="1018" t="s">
        <v>979</v>
      </c>
      <c r="Q278" s="1019">
        <f>L267*K283*K266*100</f>
        <v>35262.5</v>
      </c>
      <c r="R278" s="984" t="s">
        <v>964</v>
      </c>
      <c r="S278" s="993">
        <v>60000.0</v>
      </c>
    </row>
    <row r="279">
      <c r="J279" s="1022" t="s">
        <v>980</v>
      </c>
      <c r="K279" s="1027">
        <v>600.0</v>
      </c>
      <c r="L279" s="1000" t="s">
        <v>981</v>
      </c>
      <c r="M279" s="3"/>
      <c r="N279" s="998">
        <f>K273*K274*K275</f>
        <v>114390</v>
      </c>
      <c r="O279" s="998">
        <f>K275*K279</f>
        <v>18600</v>
      </c>
      <c r="P279" s="1021" t="s">
        <v>133</v>
      </c>
      <c r="Q279" s="1019">
        <f>L267*K284*K266*100</f>
        <v>24412.5</v>
      </c>
      <c r="R279" s="995" t="s">
        <v>968</v>
      </c>
      <c r="S279" s="993">
        <v>20000.0</v>
      </c>
    </row>
    <row r="280">
      <c r="J280" s="1028" t="s">
        <v>982</v>
      </c>
      <c r="K280" s="1029">
        <v>25.0</v>
      </c>
      <c r="L280" s="1000" t="s">
        <v>983</v>
      </c>
      <c r="M280" s="3"/>
      <c r="N280" s="998">
        <f>K276*K277*K278</f>
        <v>215250</v>
      </c>
      <c r="O280" s="998">
        <f>K278*K279</f>
        <v>21000</v>
      </c>
      <c r="P280" s="1018" t="s">
        <v>984</v>
      </c>
      <c r="Q280" s="1019">
        <f>L267*K285*K266*250</f>
        <v>74593.75</v>
      </c>
      <c r="R280" s="1022" t="s">
        <v>972</v>
      </c>
      <c r="S280" s="993">
        <v>19167.0</v>
      </c>
    </row>
    <row r="281">
      <c r="J281" s="984" t="s">
        <v>971</v>
      </c>
      <c r="K281" s="1006">
        <v>0.045</v>
      </c>
      <c r="L281" s="1000" t="s">
        <v>985</v>
      </c>
      <c r="M281" s="3"/>
      <c r="N281" s="998">
        <f>SUM(N276:O277)</f>
        <v>708500</v>
      </c>
      <c r="O281" s="1030"/>
      <c r="P281" s="984" t="s">
        <v>345</v>
      </c>
      <c r="Q281" s="996">
        <f>SUM(Q274:Q280)+SUM(S274:S276)</f>
        <v>1384568.75</v>
      </c>
      <c r="R281" s="984" t="s">
        <v>345</v>
      </c>
      <c r="S281" s="993">
        <f>S278+S279+S280</f>
        <v>99167</v>
      </c>
    </row>
    <row r="282">
      <c r="J282" s="1022" t="s">
        <v>986</v>
      </c>
      <c r="K282" s="1006">
        <v>0.185</v>
      </c>
      <c r="L282" s="975"/>
      <c r="M282" s="975"/>
      <c r="N282" s="975"/>
      <c r="O282" s="975"/>
      <c r="P282" s="975"/>
      <c r="Q282" s="975"/>
      <c r="R282" s="975"/>
      <c r="S282" s="975"/>
    </row>
    <row r="283">
      <c r="J283" s="1022" t="s">
        <v>987</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984</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989</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990</v>
      </c>
      <c r="C2" s="200"/>
      <c r="D2" s="223"/>
      <c r="E2" s="223"/>
      <c r="F2" s="223"/>
      <c r="G2" s="223"/>
      <c r="H2" s="223"/>
      <c r="I2" s="223"/>
      <c r="J2" s="223"/>
      <c r="K2" s="200"/>
      <c r="L2" s="200"/>
      <c r="M2" s="200"/>
      <c r="N2" s="200"/>
      <c r="O2" s="1036"/>
      <c r="P2" s="1044">
        <f>month(P3)</f>
        <v>2</v>
      </c>
      <c r="Q2" s="1045" t="s">
        <v>991</v>
      </c>
      <c r="R2" s="1046" t="s">
        <v>992</v>
      </c>
      <c r="S2" s="1047" t="s">
        <v>993</v>
      </c>
      <c r="T2" s="1047" t="s">
        <v>994</v>
      </c>
      <c r="U2" s="1047" t="s">
        <v>995</v>
      </c>
      <c r="V2" s="1048" t="s">
        <v>996</v>
      </c>
      <c r="W2" s="1047" t="s">
        <v>997</v>
      </c>
      <c r="X2" s="1047" t="s">
        <v>998</v>
      </c>
      <c r="Y2" s="1044"/>
      <c r="Z2" s="1044">
        <f>month(Z3)</f>
        <v>3</v>
      </c>
      <c r="AA2" s="1045" t="s">
        <v>991</v>
      </c>
      <c r="AB2" s="1046" t="s">
        <v>992</v>
      </c>
      <c r="AC2" s="1047" t="s">
        <v>993</v>
      </c>
      <c r="AD2" s="1047" t="s">
        <v>994</v>
      </c>
      <c r="AE2" s="1047" t="s">
        <v>995</v>
      </c>
      <c r="AF2" s="1048" t="s">
        <v>999</v>
      </c>
      <c r="AG2" s="1047" t="s">
        <v>997</v>
      </c>
      <c r="AH2" s="1047" t="s">
        <v>998</v>
      </c>
      <c r="AI2" s="1044"/>
      <c r="AJ2" s="1044">
        <f>month(AJ3)</f>
        <v>4</v>
      </c>
      <c r="AK2" s="1045" t="s">
        <v>991</v>
      </c>
      <c r="AL2" s="1046" t="s">
        <v>992</v>
      </c>
      <c r="AM2" s="1047" t="s">
        <v>993</v>
      </c>
      <c r="AN2" s="1047" t="s">
        <v>994</v>
      </c>
      <c r="AO2" s="1047" t="s">
        <v>995</v>
      </c>
      <c r="AP2" s="1048" t="s">
        <v>1000</v>
      </c>
      <c r="AQ2" s="1047" t="s">
        <v>997</v>
      </c>
      <c r="AR2" s="1047" t="s">
        <v>998</v>
      </c>
      <c r="AS2" s="1047"/>
      <c r="AT2" s="1044">
        <f>month(AT3)</f>
        <v>5</v>
      </c>
      <c r="AU2" s="1049" t="s">
        <v>991</v>
      </c>
      <c r="AV2" s="1050" t="s">
        <v>992</v>
      </c>
      <c r="AW2" s="1051" t="s">
        <v>993</v>
      </c>
      <c r="AX2" s="1051" t="s">
        <v>994</v>
      </c>
      <c r="AY2" s="1051" t="s">
        <v>995</v>
      </c>
      <c r="AZ2" s="1052" t="s">
        <v>1001</v>
      </c>
      <c r="BA2" s="1051" t="s">
        <v>997</v>
      </c>
      <c r="BB2" s="1051" t="s">
        <v>998</v>
      </c>
      <c r="BC2" s="1044"/>
      <c r="BD2" s="1044">
        <f>month(BD3)</f>
        <v>6</v>
      </c>
      <c r="BE2" s="1045" t="s">
        <v>991</v>
      </c>
      <c r="BF2" s="1046" t="s">
        <v>992</v>
      </c>
      <c r="BG2" s="1047" t="s">
        <v>993</v>
      </c>
      <c r="BH2" s="1047" t="s">
        <v>994</v>
      </c>
      <c r="BI2" s="1047" t="s">
        <v>995</v>
      </c>
      <c r="BJ2" s="1048" t="s">
        <v>1002</v>
      </c>
      <c r="BK2" s="1047" t="s">
        <v>997</v>
      </c>
      <c r="BL2" s="1047" t="s">
        <v>998</v>
      </c>
      <c r="BM2" s="1044"/>
      <c r="BN2" s="1044">
        <f>month(BN3)</f>
        <v>7</v>
      </c>
      <c r="BO2" s="1045" t="s">
        <v>991</v>
      </c>
      <c r="BP2" s="1046" t="s">
        <v>992</v>
      </c>
      <c r="BQ2" s="1047" t="s">
        <v>993</v>
      </c>
      <c r="BR2" s="1047" t="s">
        <v>994</v>
      </c>
      <c r="BS2" s="1047" t="s">
        <v>995</v>
      </c>
      <c r="BT2" s="1048" t="s">
        <v>1003</v>
      </c>
      <c r="BU2" s="1047" t="s">
        <v>997</v>
      </c>
      <c r="BV2" s="1047" t="s">
        <v>998</v>
      </c>
      <c r="BW2" s="1047"/>
      <c r="BX2" s="1044">
        <f>month(BX3)</f>
        <v>8</v>
      </c>
      <c r="BY2" s="1045" t="s">
        <v>991</v>
      </c>
      <c r="BZ2" s="1046" t="s">
        <v>992</v>
      </c>
      <c r="CA2" s="1047" t="s">
        <v>993</v>
      </c>
      <c r="CB2" s="1047" t="s">
        <v>994</v>
      </c>
      <c r="CC2" s="1047" t="s">
        <v>995</v>
      </c>
      <c r="CD2" s="1048" t="s">
        <v>1004</v>
      </c>
      <c r="CE2" s="1047" t="s">
        <v>997</v>
      </c>
      <c r="CF2" s="1047" t="s">
        <v>998</v>
      </c>
      <c r="CG2" s="1044"/>
      <c r="CH2" s="1044">
        <f>month(CH3)</f>
        <v>9</v>
      </c>
      <c r="CI2" s="1045" t="s">
        <v>991</v>
      </c>
      <c r="CJ2" s="1046" t="s">
        <v>992</v>
      </c>
      <c r="CK2" s="1047" t="s">
        <v>993</v>
      </c>
      <c r="CL2" s="1047" t="s">
        <v>994</v>
      </c>
      <c r="CM2" s="1047" t="s">
        <v>995</v>
      </c>
      <c r="CN2" s="1048" t="s">
        <v>1005</v>
      </c>
      <c r="CO2" s="1047" t="s">
        <v>997</v>
      </c>
      <c r="CP2" s="1047" t="s">
        <v>998</v>
      </c>
      <c r="CQ2" s="1044"/>
      <c r="CR2" s="1044">
        <f>month(CR3)</f>
        <v>10</v>
      </c>
      <c r="CS2" s="1045" t="s">
        <v>991</v>
      </c>
      <c r="CT2" s="1046" t="s">
        <v>992</v>
      </c>
      <c r="CU2" s="1047" t="s">
        <v>993</v>
      </c>
      <c r="CV2" s="1047" t="s">
        <v>994</v>
      </c>
      <c r="CW2" s="1047" t="s">
        <v>995</v>
      </c>
      <c r="CX2" s="1048" t="s">
        <v>1006</v>
      </c>
      <c r="CY2" s="1047" t="s">
        <v>997</v>
      </c>
      <c r="CZ2" s="1047" t="s">
        <v>998</v>
      </c>
      <c r="DA2" s="1047"/>
      <c r="DB2" s="1044">
        <f>month(DB3)</f>
        <v>11</v>
      </c>
      <c r="DC2" s="1045" t="s">
        <v>991</v>
      </c>
      <c r="DD2" s="1046" t="s">
        <v>992</v>
      </c>
      <c r="DE2" s="1047" t="s">
        <v>993</v>
      </c>
      <c r="DF2" s="1047" t="s">
        <v>994</v>
      </c>
      <c r="DG2" s="1047" t="s">
        <v>995</v>
      </c>
      <c r="DH2" s="1048" t="s">
        <v>1007</v>
      </c>
      <c r="DI2" s="1047" t="s">
        <v>997</v>
      </c>
      <c r="DJ2" s="1047" t="s">
        <v>998</v>
      </c>
      <c r="DK2" s="1044"/>
      <c r="DL2" s="1044">
        <f>month(DL3)</f>
        <v>12</v>
      </c>
      <c r="DM2" s="1045" t="s">
        <v>991</v>
      </c>
      <c r="DN2" s="1046" t="s">
        <v>992</v>
      </c>
      <c r="DO2" s="1047" t="s">
        <v>993</v>
      </c>
      <c r="DP2" s="1047" t="s">
        <v>994</v>
      </c>
      <c r="DQ2" s="1047" t="s">
        <v>995</v>
      </c>
      <c r="DR2" s="1048" t="s">
        <v>1008</v>
      </c>
      <c r="DS2" s="1047" t="s">
        <v>997</v>
      </c>
      <c r="DT2" s="1047" t="s">
        <v>998</v>
      </c>
      <c r="DU2" s="1044"/>
      <c r="DV2" s="1044">
        <f>month(DV3)</f>
        <v>1</v>
      </c>
      <c r="DW2" s="1045" t="s">
        <v>991</v>
      </c>
      <c r="DX2" s="1046" t="s">
        <v>992</v>
      </c>
      <c r="DY2" s="1047" t="s">
        <v>993</v>
      </c>
      <c r="DZ2" s="1047" t="s">
        <v>994</v>
      </c>
      <c r="EA2" s="1047" t="s">
        <v>995</v>
      </c>
      <c r="EB2" s="1048" t="s">
        <v>1009</v>
      </c>
      <c r="EC2" s="1047" t="s">
        <v>997</v>
      </c>
      <c r="ED2" s="1047" t="s">
        <v>998</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1010</v>
      </c>
      <c r="D3" s="1057" t="s">
        <v>593</v>
      </c>
      <c r="E3" s="1057" t="s">
        <v>1011</v>
      </c>
      <c r="F3" s="1058" t="s">
        <v>1012</v>
      </c>
      <c r="G3" s="1059" t="s">
        <v>1013</v>
      </c>
      <c r="H3" s="1060" t="s">
        <v>1014</v>
      </c>
      <c r="I3" s="1057" t="s">
        <v>1015</v>
      </c>
      <c r="J3" s="1057" t="s">
        <v>1016</v>
      </c>
      <c r="K3" s="200"/>
      <c r="L3" s="1061" t="s">
        <v>96</v>
      </c>
      <c r="M3" s="1061" t="s">
        <v>562</v>
      </c>
      <c r="N3" s="200"/>
      <c r="O3" s="1036"/>
      <c r="P3" s="1062">
        <v>46054.0</v>
      </c>
      <c r="Q3" s="1063" t="s">
        <v>80</v>
      </c>
      <c r="R3" s="1064" t="s">
        <v>1010</v>
      </c>
      <c r="S3" s="1063" t="s">
        <v>593</v>
      </c>
      <c r="T3" s="1063" t="s">
        <v>1017</v>
      </c>
      <c r="U3" s="1063" t="s">
        <v>1018</v>
      </c>
      <c r="V3" s="1063" t="s">
        <v>1019</v>
      </c>
      <c r="W3" s="1063" t="s">
        <v>1020</v>
      </c>
      <c r="X3" s="1063" t="s">
        <v>1021</v>
      </c>
      <c r="Y3" s="1065"/>
      <c r="Z3" s="1062">
        <v>46082.0</v>
      </c>
      <c r="AA3" s="1063" t="s">
        <v>80</v>
      </c>
      <c r="AB3" s="1064" t="s">
        <v>1010</v>
      </c>
      <c r="AC3" s="1063" t="s">
        <v>593</v>
      </c>
      <c r="AD3" s="1063" t="s">
        <v>1017</v>
      </c>
      <c r="AE3" s="1063" t="s">
        <v>1018</v>
      </c>
      <c r="AF3" s="1063" t="s">
        <v>1019</v>
      </c>
      <c r="AG3" s="1063" t="s">
        <v>1020</v>
      </c>
      <c r="AH3" s="1063" t="s">
        <v>1021</v>
      </c>
      <c r="AI3" s="1066"/>
      <c r="AJ3" s="1067">
        <v>46113.0</v>
      </c>
      <c r="AK3" s="1063" t="s">
        <v>80</v>
      </c>
      <c r="AL3" s="1064" t="s">
        <v>1010</v>
      </c>
      <c r="AM3" s="1063" t="s">
        <v>593</v>
      </c>
      <c r="AN3" s="1063" t="s">
        <v>1017</v>
      </c>
      <c r="AO3" s="1063" t="s">
        <v>1018</v>
      </c>
      <c r="AP3" s="1063" t="s">
        <v>1019</v>
      </c>
      <c r="AQ3" s="1063" t="s">
        <v>1020</v>
      </c>
      <c r="AR3" s="1063" t="s">
        <v>1021</v>
      </c>
      <c r="AS3" s="1065"/>
      <c r="AT3" s="1067">
        <v>46143.0</v>
      </c>
      <c r="AU3" s="1068" t="s">
        <v>80</v>
      </c>
      <c r="AV3" s="1069" t="s">
        <v>1010</v>
      </c>
      <c r="AW3" s="1068" t="s">
        <v>593</v>
      </c>
      <c r="AX3" s="1068" t="s">
        <v>1017</v>
      </c>
      <c r="AY3" s="1068" t="s">
        <v>1018</v>
      </c>
      <c r="AZ3" s="1068" t="s">
        <v>1019</v>
      </c>
      <c r="BA3" s="1068" t="s">
        <v>1020</v>
      </c>
      <c r="BB3" s="1068" t="s">
        <v>1021</v>
      </c>
      <c r="BC3" s="1065"/>
      <c r="BD3" s="1067">
        <v>46174.0</v>
      </c>
      <c r="BE3" s="1063" t="s">
        <v>80</v>
      </c>
      <c r="BF3" s="1064" t="s">
        <v>1010</v>
      </c>
      <c r="BG3" s="1063" t="s">
        <v>593</v>
      </c>
      <c r="BH3" s="1063" t="s">
        <v>1017</v>
      </c>
      <c r="BI3" s="1063" t="s">
        <v>1018</v>
      </c>
      <c r="BJ3" s="1063" t="s">
        <v>1019</v>
      </c>
      <c r="BK3" s="1063" t="s">
        <v>1020</v>
      </c>
      <c r="BL3" s="1063" t="s">
        <v>1021</v>
      </c>
      <c r="BM3" s="1066"/>
      <c r="BN3" s="1067">
        <v>46205.0</v>
      </c>
      <c r="BO3" s="1063" t="s">
        <v>80</v>
      </c>
      <c r="BP3" s="1064" t="s">
        <v>1010</v>
      </c>
      <c r="BQ3" s="1063" t="s">
        <v>593</v>
      </c>
      <c r="BR3" s="1063" t="s">
        <v>1017</v>
      </c>
      <c r="BS3" s="1063" t="s">
        <v>1018</v>
      </c>
      <c r="BT3" s="1063" t="s">
        <v>1019</v>
      </c>
      <c r="BU3" s="1063" t="s">
        <v>1020</v>
      </c>
      <c r="BV3" s="1063" t="s">
        <v>1021</v>
      </c>
      <c r="BW3" s="1065"/>
      <c r="BX3" s="1067">
        <v>46235.0</v>
      </c>
      <c r="BY3" s="1063" t="s">
        <v>80</v>
      </c>
      <c r="BZ3" s="1064" t="s">
        <v>1010</v>
      </c>
      <c r="CA3" s="1063" t="s">
        <v>593</v>
      </c>
      <c r="CB3" s="1063" t="s">
        <v>1017</v>
      </c>
      <c r="CC3" s="1063" t="s">
        <v>1018</v>
      </c>
      <c r="CD3" s="1063" t="s">
        <v>1019</v>
      </c>
      <c r="CE3" s="1063" t="s">
        <v>1020</v>
      </c>
      <c r="CF3" s="1063" t="s">
        <v>1021</v>
      </c>
      <c r="CG3" s="1065"/>
      <c r="CH3" s="1067">
        <v>46266.0</v>
      </c>
      <c r="CI3" s="1063" t="s">
        <v>80</v>
      </c>
      <c r="CJ3" s="1064" t="s">
        <v>1010</v>
      </c>
      <c r="CK3" s="1063" t="s">
        <v>593</v>
      </c>
      <c r="CL3" s="1063" t="s">
        <v>1017</v>
      </c>
      <c r="CM3" s="1063" t="s">
        <v>1018</v>
      </c>
      <c r="CN3" s="1063" t="s">
        <v>1019</v>
      </c>
      <c r="CO3" s="1063" t="s">
        <v>1020</v>
      </c>
      <c r="CP3" s="1063" t="s">
        <v>1021</v>
      </c>
      <c r="CQ3" s="1066"/>
      <c r="CR3" s="1067">
        <v>46296.0</v>
      </c>
      <c r="CS3" s="1063" t="s">
        <v>80</v>
      </c>
      <c r="CT3" s="1064" t="s">
        <v>1010</v>
      </c>
      <c r="CU3" s="1063" t="s">
        <v>593</v>
      </c>
      <c r="CV3" s="1063" t="s">
        <v>1017</v>
      </c>
      <c r="CW3" s="1063" t="s">
        <v>1018</v>
      </c>
      <c r="CX3" s="1063" t="s">
        <v>1019</v>
      </c>
      <c r="CY3" s="1063" t="s">
        <v>1020</v>
      </c>
      <c r="CZ3" s="1063" t="s">
        <v>1021</v>
      </c>
      <c r="DA3" s="1065"/>
      <c r="DB3" s="1067">
        <v>46327.0</v>
      </c>
      <c r="DC3" s="1063" t="s">
        <v>80</v>
      </c>
      <c r="DD3" s="1064" t="s">
        <v>1010</v>
      </c>
      <c r="DE3" s="1063" t="s">
        <v>593</v>
      </c>
      <c r="DF3" s="1063" t="s">
        <v>1017</v>
      </c>
      <c r="DG3" s="1063" t="s">
        <v>1018</v>
      </c>
      <c r="DH3" s="1063" t="s">
        <v>1019</v>
      </c>
      <c r="DI3" s="1063" t="s">
        <v>1020</v>
      </c>
      <c r="DJ3" s="1063" t="s">
        <v>1021</v>
      </c>
      <c r="DK3" s="1065"/>
      <c r="DL3" s="1067">
        <v>46357.0</v>
      </c>
      <c r="DM3" s="1063" t="s">
        <v>80</v>
      </c>
      <c r="DN3" s="1064" t="s">
        <v>1010</v>
      </c>
      <c r="DO3" s="1063" t="s">
        <v>593</v>
      </c>
      <c r="DP3" s="1063" t="s">
        <v>1017</v>
      </c>
      <c r="DQ3" s="1063" t="s">
        <v>1018</v>
      </c>
      <c r="DR3" s="1063" t="s">
        <v>1019</v>
      </c>
      <c r="DS3" s="1063" t="s">
        <v>1020</v>
      </c>
      <c r="DT3" s="1063" t="s">
        <v>1021</v>
      </c>
      <c r="DU3" s="1065"/>
      <c r="DV3" s="1067">
        <v>46388.0</v>
      </c>
      <c r="DW3" s="1063" t="s">
        <v>80</v>
      </c>
      <c r="DX3" s="1064" t="s">
        <v>1010</v>
      </c>
      <c r="DY3" s="1063" t="s">
        <v>593</v>
      </c>
      <c r="DZ3" s="1063" t="s">
        <v>1017</v>
      </c>
      <c r="EA3" s="1063" t="s">
        <v>1018</v>
      </c>
      <c r="EB3" s="1063" t="s">
        <v>1019</v>
      </c>
      <c r="EC3" s="1063" t="s">
        <v>1020</v>
      </c>
      <c r="ED3" s="1063" t="s">
        <v>1021</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176.3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1022</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IFERROR(__xludf.DUMMYFUNCTION("IMPORTRANGE($P$7,$P$4&amp;AO$2)"),4.0)</f>
        <v>4</v>
      </c>
      <c r="AP4" s="228">
        <f t="shared" ref="AP4:AP299" si="7">COUNTIF(INDIRECT(AP$2 &amp; "L9:L"), AL4)</f>
        <v>0</v>
      </c>
      <c r="AQ4" s="1083">
        <f>IFERROR(__xludf.DUMMYFUNCTION("IMPORTRANGE($P$7,$P$4&amp;AQ$2)"),25.783333333333335)</f>
        <v>25.78333333</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450</v>
      </c>
      <c r="D5" s="1073" t="s">
        <v>89</v>
      </c>
      <c r="E5" s="1073" t="s">
        <v>955</v>
      </c>
      <c r="F5" s="1074">
        <f t="shared" si="2"/>
        <v>26</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161.4166667</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1023</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IFERROR(__xludf.DUMMYFUNCTION("""COMPUTED_VALUE"""),3.0)</f>
        <v>3</v>
      </c>
      <c r="AP5" s="228">
        <f t="shared" si="7"/>
        <v>0</v>
      </c>
      <c r="AQ5" s="1083">
        <f>IFERROR(__xludf.DUMMYFUNCTION("""COMPUTED_VALUE"""),20.033333333333335)</f>
        <v>20.03333333</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955</v>
      </c>
      <c r="F6" s="1074">
        <f t="shared" si="2"/>
        <v>29</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197.0333333</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1024</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IFERROR(__xludf.DUMMYFUNCTION("""COMPUTED_VALUE"""),5.0)</f>
        <v>5</v>
      </c>
      <c r="AP6" s="228">
        <f t="shared" si="7"/>
        <v>0</v>
      </c>
      <c r="AQ6" s="1083">
        <f>IFERROR(__xludf.DUMMYFUNCTION("""COMPUTED_VALUE"""),34.35)</f>
        <v>34.35</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454</v>
      </c>
      <c r="D7" s="1073" t="s">
        <v>89</v>
      </c>
      <c r="E7" s="1073" t="s">
        <v>955</v>
      </c>
      <c r="F7" s="1074">
        <f t="shared" si="2"/>
        <v>25</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165.9166667</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1025</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IFERROR(__xludf.DUMMYFUNCTION("""COMPUTED_VALUE"""),5.0)</f>
        <v>5</v>
      </c>
      <c r="AP7" s="228">
        <f t="shared" si="7"/>
        <v>0</v>
      </c>
      <c r="AQ7" s="1083">
        <f>IFERROR(__xludf.DUMMYFUNCTION("""COMPUTED_VALUE"""),32.166666666666664)</f>
        <v>32.16666667</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456</v>
      </c>
      <c r="D8" s="1073" t="s">
        <v>89</v>
      </c>
      <c r="E8" s="1073" t="s">
        <v>955</v>
      </c>
      <c r="F8" s="1074">
        <f t="shared" si="2"/>
        <v>30</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186.8833333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IFERROR(__xludf.DUMMYFUNCTION("""COMPUTED_VALUE"""),4.0)</f>
        <v>4</v>
      </c>
      <c r="AP8" s="228">
        <f t="shared" si="7"/>
        <v>0</v>
      </c>
      <c r="AQ8" s="1083">
        <f>IFERROR(__xludf.DUMMYFUNCTION("""COMPUTED_VALUE"""),24.983333333333334)</f>
        <v>24.98333333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458</v>
      </c>
      <c r="D9" s="1073" t="s">
        <v>89</v>
      </c>
      <c r="E9" s="1073" t="s">
        <v>955</v>
      </c>
      <c r="F9" s="1074">
        <f t="shared" si="2"/>
        <v>21</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135.6666667</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IFERROR(__xludf.DUMMYFUNCTION("""COMPUTED_VALUE"""),4.0)</f>
        <v>4</v>
      </c>
      <c r="AP9" s="228">
        <f t="shared" si="7"/>
        <v>0</v>
      </c>
      <c r="AQ9" s="1083">
        <f>IFERROR(__xludf.DUMMYFUNCTION("""COMPUTED_VALUE"""),28.3)</f>
        <v>28.3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519</v>
      </c>
      <c r="D10" s="1073" t="s">
        <v>573</v>
      </c>
      <c r="E10" s="1073" t="s">
        <v>955</v>
      </c>
      <c r="F10" s="1074">
        <f t="shared" si="2"/>
        <v>41</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123.4833333</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IFERROR(__xludf.DUMMYFUNCTION("""COMPUTED_VALUE"""),6.0)</f>
        <v>6</v>
      </c>
      <c r="AP10" s="228">
        <f t="shared" si="7"/>
        <v>0</v>
      </c>
      <c r="AQ10" s="1083">
        <f>IFERROR(__xludf.DUMMYFUNCTION("""COMPUTED_VALUE"""),18.033333333333335)</f>
        <v>18.03333333</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492</v>
      </c>
      <c r="D11" s="1073" t="s">
        <v>573</v>
      </c>
      <c r="E11" s="1073" t="s">
        <v>955</v>
      </c>
      <c r="F11" s="1074">
        <f t="shared" si="2"/>
        <v>21</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67.03333333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IFERROR(__xludf.DUMMYFUNCTION("""COMPUTED_VALUE"""),3.0)</f>
        <v>3</v>
      </c>
      <c r="AP11" s="228">
        <f t="shared" si="7"/>
        <v>0</v>
      </c>
      <c r="AQ11" s="1083">
        <f>IFERROR(__xludf.DUMMYFUNCTION("""COMPUTED_VALUE"""),8.083333333333334)</f>
        <v>8.083333333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520</v>
      </c>
      <c r="D12" s="1073" t="s">
        <v>90</v>
      </c>
      <c r="E12" s="1073" t="s">
        <v>1026</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460</v>
      </c>
      <c r="D13" s="1073" t="s">
        <v>90</v>
      </c>
      <c r="E13" s="1073" t="s">
        <v>1027</v>
      </c>
      <c r="F13" s="1074">
        <f t="shared" si="2"/>
        <v>48</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257.9833333</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IFERROR(__xludf.DUMMYFUNCTION("""COMPUTED_VALUE"""),7.0)</f>
        <v>7</v>
      </c>
      <c r="AP13" s="228">
        <f t="shared" si="7"/>
        <v>0</v>
      </c>
      <c r="AQ13" s="1083">
        <f>IFERROR(__xludf.DUMMYFUNCTION("""COMPUTED_VALUE"""),41.2)</f>
        <v>41.2</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463</v>
      </c>
      <c r="D14" s="1073" t="s">
        <v>90</v>
      </c>
      <c r="E14" s="1073" t="s">
        <v>1027</v>
      </c>
      <c r="F14" s="1074">
        <f t="shared" si="2"/>
        <v>28</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146.2833333</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IFERROR(__xludf.DUMMYFUNCTION("""COMPUTED_VALUE"""),3.0)</f>
        <v>3</v>
      </c>
      <c r="AP14" s="228">
        <f t="shared" si="7"/>
        <v>0</v>
      </c>
      <c r="AQ14" s="1083">
        <f>IFERROR(__xludf.DUMMYFUNCTION("""COMPUTED_VALUE"""),15.4)</f>
        <v>15.4</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472</v>
      </c>
      <c r="D15" s="1073" t="s">
        <v>90</v>
      </c>
      <c r="E15" s="1073" t="s">
        <v>1027</v>
      </c>
      <c r="F15" s="1074">
        <f t="shared" si="2"/>
        <v>47</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240.5333333</v>
      </c>
      <c r="J15" s="1077">
        <f t="shared" si="26"/>
        <v>682</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IFERROR(__xludf.DUMMYFUNCTION("""COMPUTED_VALUE"""),8.0)</f>
        <v>8</v>
      </c>
      <c r="AP15" s="228">
        <f t="shared" si="7"/>
        <v>0</v>
      </c>
      <c r="AQ15" s="1083">
        <f>IFERROR(__xludf.DUMMYFUNCTION("""COMPUTED_VALUE"""),36.083333333333336)</f>
        <v>36.08333333</v>
      </c>
      <c r="AR15" s="228">
        <f>IFERROR(__xludf.DUMMYFUNCTION("""COMPUTED_VALUE"""),110.0)</f>
        <v>110</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470</v>
      </c>
      <c r="D16" s="1073" t="s">
        <v>90</v>
      </c>
      <c r="E16" s="1073" t="s">
        <v>1027</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1027</v>
      </c>
      <c r="F17" s="1074">
        <f t="shared" si="2"/>
        <v>59</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374.3</v>
      </c>
      <c r="J17" s="1077">
        <f t="shared" si="28"/>
        <v>1041</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IFERROR(__xludf.DUMMYFUNCTION("""COMPUTED_VALUE"""),8.0)</f>
        <v>8</v>
      </c>
      <c r="AP17" s="228">
        <f t="shared" si="7"/>
        <v>0</v>
      </c>
      <c r="AQ17" s="1083">
        <f>IFERROR(__xludf.DUMMYFUNCTION("""COMPUTED_VALUE"""),52.016666666666666)</f>
        <v>52.01666667</v>
      </c>
      <c r="AR17" s="228">
        <f>IFERROR(__xludf.DUMMYFUNCTION("""COMPUTED_VALUE"""),142.0)</f>
        <v>142</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525</v>
      </c>
      <c r="D18" s="1073" t="s">
        <v>90</v>
      </c>
      <c r="E18" s="1073" t="s">
        <v>1026</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482</v>
      </c>
      <c r="D19" s="1073" t="s">
        <v>90</v>
      </c>
      <c r="E19" s="1073" t="s">
        <v>1027</v>
      </c>
      <c r="F19" s="1074">
        <f t="shared" si="2"/>
        <v>30</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171.5166667</v>
      </c>
      <c r="J19" s="1077">
        <f t="shared" si="30"/>
        <v>383</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IFERROR(__xludf.DUMMYFUNCTION("""COMPUTED_VALUE"""),3.0)</f>
        <v>3</v>
      </c>
      <c r="AP19" s="228">
        <f t="shared" si="7"/>
        <v>0</v>
      </c>
      <c r="AQ19" s="1083">
        <f>IFERROR(__xludf.DUMMYFUNCTION("""COMPUTED_VALUE"""),19.3)</f>
        <v>19.3</v>
      </c>
      <c r="AR19" s="228">
        <f>IFERROR(__xludf.DUMMYFUNCTION("""COMPUTED_VALUE"""),45.0)</f>
        <v>45</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477</v>
      </c>
      <c r="D20" s="1073" t="s">
        <v>90</v>
      </c>
      <c r="E20" s="1073" t="s">
        <v>955</v>
      </c>
      <c r="F20" s="1074">
        <f t="shared" si="2"/>
        <v>30</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154.2166667</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IFERROR(__xludf.DUMMYFUNCTION("""COMPUTED_VALUE"""),6.0)</f>
        <v>6</v>
      </c>
      <c r="AP20" s="228">
        <f t="shared" si="7"/>
        <v>0</v>
      </c>
      <c r="AQ20" s="1083">
        <f>IFERROR(__xludf.DUMMYFUNCTION("""COMPUTED_VALUE"""),30.183333333333334)</f>
        <v>30.18333333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475</v>
      </c>
      <c r="D21" s="1073" t="s">
        <v>90</v>
      </c>
      <c r="E21" s="1073" t="s">
        <v>1027</v>
      </c>
      <c r="F21" s="1074">
        <f t="shared" si="2"/>
        <v>53</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141.1166667</v>
      </c>
      <c r="J21" s="1077">
        <f t="shared" si="32"/>
        <v>779</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IFERROR(__xludf.DUMMYFUNCTION("""COMPUTED_VALUE"""),6.0)</f>
        <v>6</v>
      </c>
      <c r="AP21" s="228">
        <f t="shared" si="7"/>
        <v>0</v>
      </c>
      <c r="AQ21" s="1083">
        <f>IFERROR(__xludf.DUMMYFUNCTION("""COMPUTED_VALUE"""),0.0)</f>
        <v>0</v>
      </c>
      <c r="AR21" s="228">
        <f>IFERROR(__xludf.DUMMYFUNCTION("""COMPUTED_VALUE"""),92.0)</f>
        <v>92</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474</v>
      </c>
      <c r="D22" s="1073" t="s">
        <v>90</v>
      </c>
      <c r="E22" s="1073" t="s">
        <v>1027</v>
      </c>
      <c r="F22" s="1074">
        <f t="shared" si="2"/>
        <v>49</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296.7833333</v>
      </c>
      <c r="J22" s="1077">
        <f t="shared" si="33"/>
        <v>805</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IFERROR(__xludf.DUMMYFUNCTION("""COMPUTED_VALUE"""),8.0)</f>
        <v>8</v>
      </c>
      <c r="AP22" s="228">
        <f t="shared" si="7"/>
        <v>0</v>
      </c>
      <c r="AQ22" s="1083">
        <f>IFERROR(__xludf.DUMMYFUNCTION("""COMPUTED_VALUE"""),54.2)</f>
        <v>54.2</v>
      </c>
      <c r="AR22" s="228">
        <f>IFERROR(__xludf.DUMMYFUNCTION("""COMPUTED_VALUE"""),134.0)</f>
        <v>134</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1026</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480</v>
      </c>
      <c r="D24" s="1073" t="s">
        <v>90</v>
      </c>
      <c r="E24" s="1073" t="s">
        <v>1027</v>
      </c>
      <c r="F24" s="1074">
        <f t="shared" si="2"/>
        <v>38</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220.9333333</v>
      </c>
      <c r="J24" s="1077">
        <f t="shared" si="35"/>
        <v>69</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IFERROR(__xludf.DUMMYFUNCTION("""COMPUTED_VALUE"""),6.0)</f>
        <v>6</v>
      </c>
      <c r="AP24" s="228">
        <f t="shared" si="7"/>
        <v>0</v>
      </c>
      <c r="AQ24" s="1083">
        <f>IFERROR(__xludf.DUMMYFUNCTION("""COMPUTED_VALUE"""),32.833333333333336)</f>
        <v>32.83333333</v>
      </c>
      <c r="AR24" s="228">
        <f>IFERROR(__xludf.DUMMYFUNCTION("""COMPUTED_VALUE"""),69.0)</f>
        <v>69</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487</v>
      </c>
      <c r="D25" s="1073" t="s">
        <v>90</v>
      </c>
      <c r="E25" s="1073" t="s">
        <v>955</v>
      </c>
      <c r="F25" s="1074">
        <f t="shared" si="2"/>
        <v>12</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77.23333333</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IFERROR(__xludf.DUMMYFUNCTION("""COMPUTED_VALUE"""),1.0)</f>
        <v>1</v>
      </c>
      <c r="AP25" s="228">
        <f t="shared" si="7"/>
        <v>0</v>
      </c>
      <c r="AQ25" s="1083">
        <f>IFERROR(__xludf.DUMMYFUNCTION("""COMPUTED_VALUE"""),7.083333333333333)</f>
        <v>7.083333333</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1026</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1027</v>
      </c>
      <c r="F27" s="1074">
        <f t="shared" si="2"/>
        <v>37</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233.7333333</v>
      </c>
      <c r="J27" s="1077">
        <f t="shared" si="38"/>
        <v>64</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IFERROR(__xludf.DUMMYFUNCTION("""COMPUTED_VALUE"""),6.0)</f>
        <v>6</v>
      </c>
      <c r="AP27" s="228">
        <f t="shared" si="7"/>
        <v>0</v>
      </c>
      <c r="AQ27" s="1083">
        <f>IFERROR(__xludf.DUMMYFUNCTION("""COMPUTED_VALUE"""),33.3)</f>
        <v>33.3</v>
      </c>
      <c r="AR27" s="228">
        <f>IFERROR(__xludf.DUMMYFUNCTION("""COMPUTED_VALUE"""),64.0)</f>
        <v>64</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484</v>
      </c>
      <c r="D28" s="1073" t="s">
        <v>90</v>
      </c>
      <c r="E28" s="1073" t="s">
        <v>1027</v>
      </c>
      <c r="F28" s="1074">
        <f t="shared" si="2"/>
        <v>47</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311.6166667</v>
      </c>
      <c r="J28" s="1077">
        <f t="shared" si="39"/>
        <v>67</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IFERROR(__xludf.DUMMYFUNCTION("""COMPUTED_VALUE"""),5.0)</f>
        <v>5</v>
      </c>
      <c r="AP28" s="228">
        <f t="shared" si="7"/>
        <v>0</v>
      </c>
      <c r="AQ28" s="1083">
        <f>IFERROR(__xludf.DUMMYFUNCTION("""COMPUTED_VALUE"""),34.88333333333333)</f>
        <v>34.88333333</v>
      </c>
      <c r="AR28" s="228">
        <f>IFERROR(__xludf.DUMMYFUNCTION("""COMPUTED_VALUE"""),67.0)</f>
        <v>67</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1027</v>
      </c>
      <c r="F29" s="1074">
        <f t="shared" si="2"/>
        <v>39</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263.1833333</v>
      </c>
      <c r="J29" s="1077">
        <f t="shared" si="40"/>
        <v>66</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IFERROR(__xludf.DUMMYFUNCTION("""COMPUTED_VALUE"""),5.0)</f>
        <v>5</v>
      </c>
      <c r="AP29" s="228">
        <f t="shared" si="7"/>
        <v>0</v>
      </c>
      <c r="AQ29" s="1083">
        <f>IFERROR(__xludf.DUMMYFUNCTION("""COMPUTED_VALUE"""),34.71666666666667)</f>
        <v>34.71666667</v>
      </c>
      <c r="AR29" s="228">
        <f>IFERROR(__xludf.DUMMYFUNCTION("""COMPUTED_VALUE"""),66.0)</f>
        <v>66</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529</v>
      </c>
      <c r="D30" s="1073" t="s">
        <v>90</v>
      </c>
      <c r="E30" s="1073" t="s">
        <v>1026</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485</v>
      </c>
      <c r="D31" s="1073" t="s">
        <v>90</v>
      </c>
      <c r="E31" s="1073" t="s">
        <v>955</v>
      </c>
      <c r="F31" s="1074">
        <f t="shared" si="2"/>
        <v>14</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86.16666667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IFERROR(__xludf.DUMMYFUNCTION("""COMPUTED_VALUE"""),7.0)</f>
        <v>7</v>
      </c>
      <c r="AP31" s="228">
        <f t="shared" si="7"/>
        <v>0</v>
      </c>
      <c r="AQ31" s="1083">
        <f>IFERROR(__xludf.DUMMYFUNCTION("""COMPUTED_VALUE"""),39.9)</f>
        <v>39.9</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486</v>
      </c>
      <c r="D32" s="1073" t="s">
        <v>90</v>
      </c>
      <c r="E32" s="1073" t="s">
        <v>955</v>
      </c>
      <c r="F32" s="1074">
        <f t="shared" si="2"/>
        <v>6</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36.66666667</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IFERROR(__xludf.DUMMYFUNCTION("""COMPUTED_VALUE"""),2.0)</f>
        <v>2</v>
      </c>
      <c r="AP32" s="228">
        <f t="shared" si="7"/>
        <v>0</v>
      </c>
      <c r="AQ32" s="1083">
        <f>IFERROR(__xludf.DUMMYFUNCTION("""COMPUTED_VALUE"""),11.25)</f>
        <v>11.25</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c r="C33" s="1105" t="s">
        <v>489</v>
      </c>
      <c r="D33" s="1073" t="s">
        <v>90</v>
      </c>
      <c r="E33" s="1073" t="s">
        <v>1026</v>
      </c>
      <c r="F33" s="1074">
        <f t="shared" si="2"/>
        <v>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0"/>
      <c r="AL33" s="184" t="str">
        <f>IFERROR(__xludf.DUMMYFUNCTION("""COMPUTED_VALUE"""),"アスミタ")</f>
        <v>アスミタ</v>
      </c>
      <c r="AM33" s="228" t="str">
        <f>IFERROR(__xludf.DUMMYFUNCTION("""COMPUTED_VALUE"""),"メイド")</f>
        <v>メイド</v>
      </c>
      <c r="AN33" s="228" t="str">
        <f>IFERROR(__xludf.DUMMYFUNCTION("""COMPUTED_VALUE"""),"")</f>
        <v/>
      </c>
      <c r="AO33" s="1082">
        <f>IFERROR(__xludf.DUMMYFUNCTION("""COMPUTED_VALUE"""),0.0)</f>
        <v>0</v>
      </c>
      <c r="AP33" s="228">
        <f t="shared" si="7"/>
        <v>0</v>
      </c>
      <c r="AQ33" s="1083">
        <f>IFERROR(__xludf.DUMMYFUNCTION("""COMPUTED_VALUE"""),0.0)</f>
        <v>0</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c r="C34" s="1105"/>
      <c r="D34" s="1073"/>
      <c r="E34" s="1073" t="s">
        <v>1026</v>
      </c>
      <c r="F34" s="1074">
        <f t="shared" si="2"/>
        <v>0</v>
      </c>
      <c r="G34" s="1075" t="str">
        <f t="shared" si="3"/>
        <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0"/>
      <c r="AL34" s="184"/>
      <c r="AM34" s="228"/>
      <c r="AN34" s="228" t="str">
        <f>IFERROR(__xludf.DUMMYFUNCTION("""COMPUTED_VALUE"""),"")</f>
        <v/>
      </c>
      <c r="AO34" s="1082" t="str">
        <f>IFERROR(__xludf.DUMMYFUNCTION("""COMPUTED_VALUE"""),"")</f>
        <v/>
      </c>
      <c r="AP34" s="228">
        <f t="shared" si="7"/>
        <v>0</v>
      </c>
      <c r="AQ34" s="1083" t="str">
        <f>IFERROR(__xludf.DUMMYFUNCTION("""COMPUTED_VALUE"""),"")</f>
        <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c r="D35" s="1073"/>
      <c r="E35" s="1073" t="s">
        <v>1026</v>
      </c>
      <c r="F35" s="1074">
        <f t="shared" si="2"/>
        <v>0</v>
      </c>
      <c r="G35" s="1075" t="str">
        <f t="shared" si="3"/>
        <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c r="AM35" s="228"/>
      <c r="AN35" s="228" t="str">
        <f>IFERROR(__xludf.DUMMYFUNCTION("""COMPUTED_VALUE"""),"")</f>
        <v/>
      </c>
      <c r="AO35" s="1082" t="str">
        <f>IFERROR(__xludf.DUMMYFUNCTION("""COMPUTED_VALUE"""),"")</f>
        <v/>
      </c>
      <c r="AP35" s="228">
        <f t="shared" si="7"/>
        <v>0</v>
      </c>
      <c r="AQ35" s="1083" t="str">
        <f>IFERROR(__xludf.DUMMYFUNCTION("""COMPUTED_VALUE"""),"")</f>
        <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1026</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1026</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1026</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1026</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1026</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1026</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1026</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1026</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1026</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1026</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1026</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1026</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1026</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1026</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1026</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1026</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1026</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1026</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1026</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1026</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1026</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1026</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1026</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1026</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1026</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1026</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1026</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1026</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1026</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1026</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1026</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1026</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1026</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1026</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1026</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1026</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1026</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1026</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1026</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1026</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1026</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1026</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1026</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1026</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1026</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1026</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1026</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1026</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1026</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1026</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1026</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1026</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1026</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1026</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1026</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1026</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1026</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1026</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1026</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1026</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1026</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1026</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1026</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1028</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""日別集計!D5:AH5""),""ファイルなし"")"),74147.66666666667)</f>
        <v>74147.66667</v>
      </c>
      <c r="C5" s="24">
        <f>IFERROR(__xludf.DUMMYFUNCTION("""COMPUTED_VALUE"""),79809.0)</f>
        <v>79809</v>
      </c>
      <c r="D5" s="24">
        <f>IFERROR(__xludf.DUMMYFUNCTION("""COMPUTED_VALUE"""),89574.5)</f>
        <v>89574.5</v>
      </c>
      <c r="E5" s="24">
        <f>IFERROR(__xludf.DUMMYFUNCTION("""COMPUTED_VALUE"""),95402.83333333334)</f>
        <v>95402.83333</v>
      </c>
      <c r="F5" s="24">
        <f>IFERROR(__xludf.DUMMYFUNCTION("""COMPUTED_VALUE"""),103893.16666666667)</f>
        <v>103893.1667</v>
      </c>
      <c r="G5" s="24">
        <f>IFERROR(__xludf.DUMMYFUNCTION("""COMPUTED_VALUE"""),97011.5)</f>
        <v>97011.5</v>
      </c>
      <c r="H5" s="24">
        <f>IFERROR(__xludf.DUMMYFUNCTION("""COMPUTED_VALUE"""),79240.5)</f>
        <v>79240.5</v>
      </c>
      <c r="I5" s="24">
        <f>IFERROR(__xludf.DUMMYFUNCTION("""COMPUTED_VALUE"""),98597.33333333333)</f>
        <v>98597.33333</v>
      </c>
      <c r="J5" s="24">
        <f>IFERROR(__xludf.DUMMYFUNCTION("""COMPUTED_VALUE"""),89549.83333333333)</f>
        <v>89549.83333</v>
      </c>
      <c r="K5" s="24">
        <f>IFERROR(__xludf.DUMMYFUNCTION("""COMPUTED_VALUE"""),82581.5)</f>
        <v>82581.5</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1029</v>
      </c>
      <c r="C30" s="247"/>
      <c r="D30" s="247"/>
      <c r="E30" s="247"/>
      <c r="F30" s="250"/>
    </row>
    <row r="31">
      <c r="B31" s="1116" t="s">
        <v>1030</v>
      </c>
      <c r="C31" s="1117" t="s">
        <v>277</v>
      </c>
      <c r="D31" s="1117" t="s">
        <v>278</v>
      </c>
      <c r="E31" s="1117" t="s">
        <v>956</v>
      </c>
      <c r="F31" s="1118" t="s">
        <v>275</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1031</v>
      </c>
      <c r="E44" s="1123" t="s">
        <v>1031</v>
      </c>
      <c r="F44" s="1123" t="s">
        <v>1031</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364</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366</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368</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1032</v>
      </c>
      <c r="O2" s="534"/>
      <c r="P2" s="535"/>
      <c r="Q2" s="536"/>
      <c r="R2" s="536"/>
      <c r="S2" s="537"/>
      <c r="T2" s="536"/>
      <c r="U2" s="536"/>
      <c r="V2" s="536"/>
      <c r="W2" s="536"/>
      <c r="X2" s="536"/>
      <c r="Y2" s="538"/>
      <c r="Z2" s="281"/>
      <c r="AA2" s="281"/>
      <c r="AB2" s="281"/>
      <c r="AC2" s="281"/>
      <c r="AD2" s="281"/>
      <c r="AE2" s="281"/>
      <c r="AF2" s="539"/>
      <c r="AG2" s="540"/>
      <c r="AH2" s="541"/>
      <c r="AI2" s="542" t="s">
        <v>1033</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1034</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409</v>
      </c>
      <c r="C5" s="590"/>
      <c r="D5" s="529"/>
      <c r="E5" s="591" t="s">
        <v>410</v>
      </c>
      <c r="F5" s="590"/>
      <c r="G5" s="529"/>
      <c r="H5" s="529"/>
      <c r="I5" s="592" t="b">
        <v>0</v>
      </c>
      <c r="J5" s="3"/>
      <c r="K5" s="593"/>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142</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46123</v>
      </c>
      <c r="C7" s="614"/>
      <c r="D7" s="529"/>
      <c r="E7" s="615">
        <f>today()+1</f>
        <v>46124</v>
      </c>
      <c r="F7" s="616"/>
      <c r="G7" s="529"/>
      <c r="H7" s="529"/>
      <c r="I7" s="617" t="s">
        <v>425</v>
      </c>
      <c r="J7" s="618" t="s">
        <v>426</v>
      </c>
      <c r="K7" s="619">
        <v>46054.0</v>
      </c>
      <c r="L7" s="620" t="s">
        <v>427</v>
      </c>
      <c r="M7" s="621" t="s">
        <v>428</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土</v>
      </c>
      <c r="D8" s="119"/>
      <c r="E8" s="630" t="s">
        <v>292</v>
      </c>
      <c r="F8" s="631" t="str">
        <f>TEXT(E7,"ddd")</f>
        <v>日</v>
      </c>
      <c r="G8" s="200"/>
      <c r="H8" s="200"/>
      <c r="I8" s="617"/>
      <c r="J8" s="632" t="s">
        <v>436</v>
      </c>
      <c r="K8" s="620" t="s">
        <v>437</v>
      </c>
      <c r="L8" s="633" t="s">
        <v>438</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439</v>
      </c>
      <c r="L9" s="639" t="s">
        <v>135</v>
      </c>
      <c r="M9" s="640" t="s">
        <v>440</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441</v>
      </c>
      <c r="L10" s="639" t="s">
        <v>135</v>
      </c>
      <c r="M10" s="640" t="s">
        <v>442</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シャキラ</v>
      </c>
      <c r="C11" s="637" t="str">
        <f t="shared" si="5"/>
        <v>#N/A</v>
      </c>
      <c r="D11" s="200"/>
      <c r="E11" s="636" t="str">
        <f t="shared" si="6"/>
        <v>シャキラ</v>
      </c>
      <c r="F11" s="637" t="str">
        <f t="shared" si="7"/>
        <v>#N/A</v>
      </c>
      <c r="G11" s="200"/>
      <c r="H11" s="200"/>
      <c r="I11" s="172" t="b">
        <v>0</v>
      </c>
      <c r="J11" s="618"/>
      <c r="K11" s="638" t="s">
        <v>100</v>
      </c>
      <c r="L11" s="639"/>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笹田</v>
      </c>
      <c r="C12" s="637" t="str">
        <f t="shared" si="5"/>
        <v>#N/A</v>
      </c>
      <c r="D12" s="200"/>
      <c r="E12" s="636" t="str">
        <f t="shared" si="6"/>
        <v>笹田</v>
      </c>
      <c r="F12" s="637" t="str">
        <f t="shared" si="7"/>
        <v>#N/A</v>
      </c>
      <c r="G12" s="200"/>
      <c r="H12" s="200"/>
      <c r="I12" s="172" t="b">
        <v>0</v>
      </c>
      <c r="J12" s="618"/>
      <c r="K12" s="638" t="s">
        <v>1035</v>
      </c>
      <c r="L12" s="639"/>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メイ</v>
      </c>
      <c r="C13" s="637" t="str">
        <f t="shared" si="5"/>
        <v>#N/A</v>
      </c>
      <c r="D13" s="200"/>
      <c r="E13" s="636" t="str">
        <f t="shared" si="6"/>
        <v>メイ</v>
      </c>
      <c r="F13" s="637" t="str">
        <f t="shared" si="7"/>
        <v>#N/A</v>
      </c>
      <c r="G13" s="200"/>
      <c r="H13" s="200"/>
      <c r="I13" s="172" t="b">
        <v>0</v>
      </c>
      <c r="J13" s="618"/>
      <c r="K13" s="638" t="s">
        <v>142</v>
      </c>
      <c r="L13" s="639"/>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ビマル</v>
      </c>
      <c r="C14" s="637" t="str">
        <f t="shared" si="5"/>
        <v>#N/A</v>
      </c>
      <c r="D14" s="200"/>
      <c r="E14" s="636" t="str">
        <f t="shared" si="6"/>
        <v>ビマル</v>
      </c>
      <c r="F14" s="637" t="str">
        <f t="shared" si="7"/>
        <v>#N/A</v>
      </c>
      <c r="G14" s="200"/>
      <c r="H14" s="200"/>
      <c r="I14" s="172" t="b">
        <v>0</v>
      </c>
      <c r="J14" s="618"/>
      <c r="K14" s="638" t="s">
        <v>119</v>
      </c>
      <c r="L14" s="639"/>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450</v>
      </c>
      <c r="L17" s="639"/>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2" t="s">
        <v>608</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453</v>
      </c>
      <c r="L18" s="639"/>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2" t="s">
        <v>609</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2" t="s">
        <v>610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454</v>
      </c>
      <c r="L20" s="639"/>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2"/>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456</v>
      </c>
      <c r="L21" s="639"/>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2" t="s">
        <v>612</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オウ</v>
      </c>
      <c r="C22" s="637" t="str">
        <f t="shared" si="5"/>
        <v>#N/A</v>
      </c>
      <c r="D22" s="200"/>
      <c r="E22" s="636" t="str">
        <f t="shared" si="6"/>
        <v>オウ</v>
      </c>
      <c r="F22" s="637" t="str">
        <f t="shared" si="7"/>
        <v>#N/A</v>
      </c>
      <c r="G22" s="200"/>
      <c r="H22" s="200"/>
      <c r="I22" s="172" t="b">
        <v>0</v>
      </c>
      <c r="J22" s="618"/>
      <c r="K22" s="638" t="s">
        <v>525</v>
      </c>
      <c r="L22" s="639"/>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アラム</v>
      </c>
      <c r="C23" s="637" t="str">
        <f t="shared" si="5"/>
        <v>#N/A</v>
      </c>
      <c r="D23" s="200"/>
      <c r="E23" s="636" t="str">
        <f t="shared" si="6"/>
        <v>アラム</v>
      </c>
      <c r="F23" s="637" t="str">
        <f t="shared" si="7"/>
        <v>#N/A</v>
      </c>
      <c r="G23" s="200"/>
      <c r="H23" s="200"/>
      <c r="I23" s="172" t="b">
        <v>0</v>
      </c>
      <c r="J23" s="618"/>
      <c r="K23" s="638" t="s">
        <v>112</v>
      </c>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ガルセス</v>
      </c>
      <c r="C25" s="637" t="str">
        <f t="shared" si="5"/>
        <v>#N/A</v>
      </c>
      <c r="D25" s="200"/>
      <c r="E25" s="636" t="str">
        <f t="shared" si="6"/>
        <v>ガルセス</v>
      </c>
      <c r="F25" s="637" t="str">
        <f t="shared" si="7"/>
        <v>#N/A</v>
      </c>
      <c r="G25" s="200"/>
      <c r="H25" s="200"/>
      <c r="I25" s="172" t="b">
        <v>0</v>
      </c>
      <c r="J25" s="618"/>
      <c r="K25" s="638" t="s">
        <v>460</v>
      </c>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4"/>
        <v>グレース</v>
      </c>
      <c r="C26" s="637" t="str">
        <f t="shared" si="5"/>
        <v>#N/A</v>
      </c>
      <c r="D26" s="200"/>
      <c r="E26" s="636" t="str">
        <f t="shared" si="6"/>
        <v>グレース</v>
      </c>
      <c r="F26" s="637" t="str">
        <f t="shared" si="7"/>
        <v>#N/A</v>
      </c>
      <c r="G26" s="200"/>
      <c r="H26" s="200"/>
      <c r="I26" s="172" t="b">
        <v>0</v>
      </c>
      <c r="J26" s="618"/>
      <c r="K26" s="638" t="s">
        <v>463</v>
      </c>
      <c r="L26" s="639"/>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
      </c>
      <c r="C27" s="637" t="str">
        <f t="shared" si="5"/>
        <v/>
      </c>
      <c r="D27" s="200"/>
      <c r="E27" s="636" t="str">
        <f t="shared" si="6"/>
        <v/>
      </c>
      <c r="F27" s="637" t="str">
        <f t="shared" si="7"/>
        <v/>
      </c>
      <c r="G27" s="200"/>
      <c r="H27" s="200"/>
      <c r="I27" s="172" t="b">
        <v>0</v>
      </c>
      <c r="J27" s="618"/>
      <c r="K27" s="638"/>
      <c r="L27" s="639"/>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465</v>
      </c>
      <c r="L41" s="639" t="s">
        <v>451</v>
      </c>
      <c r="M41" s="640" t="s">
        <v>192</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466</v>
      </c>
      <c r="L42" s="639" t="s">
        <v>451</v>
      </c>
      <c r="M42" s="640" t="s">
        <v>401</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5" t="b">
        <v>0</v>
      </c>
      <c r="J43" s="618"/>
      <c r="K43" s="656" t="s">
        <v>467</v>
      </c>
      <c r="L43" s="657" t="s">
        <v>449</v>
      </c>
      <c r="M43" s="658"/>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468</v>
      </c>
      <c r="L44" s="639" t="s">
        <v>449</v>
      </c>
      <c r="M44" s="640" t="s">
        <v>469</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早川</v>
      </c>
      <c r="C45" s="637" t="str">
        <f t="shared" si="5"/>
        <v>#N/A</v>
      </c>
      <c r="D45" s="200"/>
      <c r="E45" s="636" t="str">
        <f t="shared" si="6"/>
        <v>早川</v>
      </c>
      <c r="F45" s="637" t="str">
        <f t="shared" si="7"/>
        <v>#N/A</v>
      </c>
      <c r="G45" s="200"/>
      <c r="H45" s="200"/>
      <c r="I45" s="172" t="b">
        <v>0</v>
      </c>
      <c r="J45" s="618">
        <v>16.0</v>
      </c>
      <c r="K45" s="638" t="s">
        <v>470</v>
      </c>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大沼</v>
      </c>
      <c r="C46" s="637" t="str">
        <f t="shared" si="5"/>
        <v>#N/A</v>
      </c>
      <c r="D46" s="200"/>
      <c r="E46" s="636" t="str">
        <f t="shared" si="6"/>
        <v>大沼</v>
      </c>
      <c r="F46" s="637" t="str">
        <f t="shared" si="7"/>
        <v>#N/A</v>
      </c>
      <c r="G46" s="200"/>
      <c r="H46" s="200"/>
      <c r="I46" s="172" t="b">
        <v>0</v>
      </c>
      <c r="J46" s="618">
        <v>15.0</v>
      </c>
      <c r="K46" s="638" t="s">
        <v>472</v>
      </c>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サンタ</v>
      </c>
      <c r="C47" s="637" t="str">
        <f t="shared" si="5"/>
        <v>#N/A</v>
      </c>
      <c r="D47" s="200"/>
      <c r="E47" s="636" t="str">
        <f t="shared" si="6"/>
        <v>サンタ</v>
      </c>
      <c r="F47" s="637" t="str">
        <f t="shared" si="7"/>
        <v>#N/A</v>
      </c>
      <c r="G47" s="200"/>
      <c r="H47" s="200"/>
      <c r="I47" s="172" t="b">
        <v>0</v>
      </c>
      <c r="J47" s="618">
        <v>19.0</v>
      </c>
      <c r="K47" s="638" t="s">
        <v>113</v>
      </c>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タン</v>
      </c>
      <c r="C48" s="637" t="str">
        <f t="shared" si="5"/>
        <v>#N/A</v>
      </c>
      <c r="D48" s="200"/>
      <c r="E48" s="636" t="str">
        <f t="shared" si="6"/>
        <v>タン</v>
      </c>
      <c r="F48" s="637" t="str">
        <f t="shared" si="7"/>
        <v>#N/A</v>
      </c>
      <c r="G48" s="200"/>
      <c r="H48" s="200"/>
      <c r="I48" s="172" t="b">
        <v>0</v>
      </c>
      <c r="J48" s="618">
        <v>17.0</v>
      </c>
      <c r="K48" s="638" t="s">
        <v>475</v>
      </c>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ブラトキ</v>
      </c>
      <c r="C49" s="637" t="str">
        <f t="shared" si="5"/>
        <v>#N/A</v>
      </c>
      <c r="D49" s="200"/>
      <c r="E49" s="636" t="str">
        <f t="shared" si="6"/>
        <v>ブラトキ</v>
      </c>
      <c r="F49" s="637" t="str">
        <f t="shared" si="7"/>
        <v>#N/A</v>
      </c>
      <c r="G49" s="200"/>
      <c r="H49" s="200"/>
      <c r="I49" s="172" t="b">
        <v>0</v>
      </c>
      <c r="J49" s="618">
        <v>17.0</v>
      </c>
      <c r="K49" s="638" t="s">
        <v>637</v>
      </c>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5"/>
        <v>#N/A</v>
      </c>
      <c r="D50" s="200"/>
      <c r="E50" s="636" t="str">
        <f t="shared" si="6"/>
        <v>タラ</v>
      </c>
      <c r="F50" s="637" t="str">
        <f t="shared" si="7"/>
        <v>#N/A</v>
      </c>
      <c r="G50" s="200"/>
      <c r="H50" s="200"/>
      <c r="I50" s="172" t="b">
        <v>0</v>
      </c>
      <c r="J50" s="618">
        <v>17.0</v>
      </c>
      <c r="K50" s="638" t="s">
        <v>474</v>
      </c>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5"/>
        <v>#N/A</v>
      </c>
      <c r="D51" s="200"/>
      <c r="E51" s="636" t="str">
        <f t="shared" si="6"/>
        <v>スレスタ</v>
      </c>
      <c r="F51" s="637" t="str">
        <f t="shared" si="7"/>
        <v>#N/A</v>
      </c>
      <c r="G51" s="200"/>
      <c r="H51" s="200"/>
      <c r="I51" s="172" t="b">
        <v>0</v>
      </c>
      <c r="J51" s="618">
        <v>15.0</v>
      </c>
      <c r="K51" s="638" t="s">
        <v>480</v>
      </c>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5"/>
        <v>#N/A</v>
      </c>
      <c r="D52" s="200"/>
      <c r="E52" s="636" t="str">
        <f t="shared" si="6"/>
        <v>アリ</v>
      </c>
      <c r="F52" s="637" t="str">
        <f t="shared" si="7"/>
        <v>#N/A</v>
      </c>
      <c r="G52" s="200"/>
      <c r="H52" s="200"/>
      <c r="I52" s="172" t="b">
        <v>0</v>
      </c>
      <c r="J52" s="618">
        <v>10.0</v>
      </c>
      <c r="K52" s="638" t="s">
        <v>487</v>
      </c>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5"/>
        <v>#N/A</v>
      </c>
      <c r="D53" s="200"/>
      <c r="E53" s="636" t="str">
        <f t="shared" si="6"/>
        <v>バンダリ</v>
      </c>
      <c r="F53" s="637" t="str">
        <f t="shared" si="7"/>
        <v>#N/A</v>
      </c>
      <c r="G53" s="200"/>
      <c r="H53" s="200"/>
      <c r="I53" s="172" t="b">
        <v>0</v>
      </c>
      <c r="J53" s="618">
        <v>15.0</v>
      </c>
      <c r="K53" s="638" t="s">
        <v>482</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サリタ</v>
      </c>
      <c r="C54" s="637" t="str">
        <f t="shared" si="5"/>
        <v>#N/A</v>
      </c>
      <c r="D54" s="200"/>
      <c r="E54" s="636" t="str">
        <f t="shared" si="6"/>
        <v>サリタ</v>
      </c>
      <c r="F54" s="637" t="str">
        <f t="shared" si="7"/>
        <v>#N/A</v>
      </c>
      <c r="G54" s="200"/>
      <c r="H54" s="200"/>
      <c r="I54" s="172" t="b">
        <v>0</v>
      </c>
      <c r="J54" s="618"/>
      <c r="K54" s="638" t="s">
        <v>779</v>
      </c>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ランジュ</v>
      </c>
      <c r="C55" s="637" t="str">
        <f t="shared" si="5"/>
        <v>#N/A</v>
      </c>
      <c r="D55" s="200"/>
      <c r="E55" s="636" t="str">
        <f t="shared" si="6"/>
        <v>ランジュ</v>
      </c>
      <c r="F55" s="637" t="str">
        <f t="shared" si="7"/>
        <v>#N/A</v>
      </c>
      <c r="G55" s="200"/>
      <c r="H55" s="200"/>
      <c r="I55" s="172" t="b">
        <v>0</v>
      </c>
      <c r="J55" s="618"/>
      <c r="K55" s="638" t="s">
        <v>165</v>
      </c>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ウィン</v>
      </c>
      <c r="C56" s="637" t="str">
        <f t="shared" si="5"/>
        <v>#N/A</v>
      </c>
      <c r="D56" s="200"/>
      <c r="E56" s="636" t="str">
        <f t="shared" si="6"/>
        <v>ウィン</v>
      </c>
      <c r="F56" s="637" t="str">
        <f t="shared" si="7"/>
        <v>#N/A</v>
      </c>
      <c r="G56" s="200"/>
      <c r="H56" s="200"/>
      <c r="I56" s="172" t="b">
        <v>0</v>
      </c>
      <c r="J56" s="618">
        <v>12.0</v>
      </c>
      <c r="K56" s="638" t="s">
        <v>477</v>
      </c>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ギミレ</v>
      </c>
      <c r="C57" s="637" t="str">
        <f t="shared" si="5"/>
        <v>#N/A</v>
      </c>
      <c r="D57" s="200"/>
      <c r="E57" s="636" t="str">
        <f t="shared" si="6"/>
        <v>ギミレ</v>
      </c>
      <c r="F57" s="637" t="str">
        <f t="shared" si="7"/>
        <v>#N/A</v>
      </c>
      <c r="G57" s="200"/>
      <c r="H57" s="200"/>
      <c r="I57" s="172" t="b">
        <v>0</v>
      </c>
      <c r="J57" s="618"/>
      <c r="K57" s="638" t="s">
        <v>159</v>
      </c>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GT</v>
      </c>
      <c r="C58" s="637" t="str">
        <f t="shared" si="5"/>
        <v>#N/A</v>
      </c>
      <c r="D58" s="200"/>
      <c r="E58" s="636" t="str">
        <f t="shared" si="6"/>
        <v>GT</v>
      </c>
      <c r="F58" s="637" t="str">
        <f t="shared" si="7"/>
        <v>#N/A</v>
      </c>
      <c r="G58" s="200"/>
      <c r="H58" s="200"/>
      <c r="I58" s="172" t="b">
        <v>0</v>
      </c>
      <c r="J58" s="618"/>
      <c r="K58" s="638" t="s">
        <v>484</v>
      </c>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ビケス</v>
      </c>
      <c r="C59" s="637" t="str">
        <f t="shared" si="5"/>
        <v>#N/A</v>
      </c>
      <c r="D59" s="200"/>
      <c r="E59" s="636" t="str">
        <f t="shared" si="6"/>
        <v>ビケス</v>
      </c>
      <c r="F59" s="637" t="str">
        <f t="shared" si="7"/>
        <v>#N/A</v>
      </c>
      <c r="G59" s="200"/>
      <c r="H59" s="200"/>
      <c r="I59" s="172" t="b">
        <v>0</v>
      </c>
      <c r="J59" s="618">
        <v>10.0</v>
      </c>
      <c r="K59" s="638" t="s">
        <v>120</v>
      </c>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カトリ</v>
      </c>
      <c r="C60" s="637" t="str">
        <f t="shared" si="5"/>
        <v>#N/A</v>
      </c>
      <c r="D60" s="200"/>
      <c r="E60" s="636" t="str">
        <f t="shared" si="6"/>
        <v>カトリ</v>
      </c>
      <c r="F60" s="637" t="str">
        <f t="shared" si="7"/>
        <v>#N/A</v>
      </c>
      <c r="G60" s="200"/>
      <c r="H60" s="200"/>
      <c r="I60" s="172" t="b">
        <v>0</v>
      </c>
      <c r="J60" s="618"/>
      <c r="K60" s="638" t="s">
        <v>125</v>
      </c>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ライン</v>
      </c>
      <c r="C61" s="637" t="str">
        <f t="shared" si="5"/>
        <v>#N/A</v>
      </c>
      <c r="D61" s="200"/>
      <c r="E61" s="636" t="str">
        <f t="shared" si="6"/>
        <v>ライン</v>
      </c>
      <c r="F61" s="637" t="str">
        <f t="shared" si="7"/>
        <v>#N/A</v>
      </c>
      <c r="G61" s="200"/>
      <c r="H61" s="200"/>
      <c r="I61" s="172" t="b">
        <v>0</v>
      </c>
      <c r="J61" s="618"/>
      <c r="K61" s="638" t="s">
        <v>529</v>
      </c>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カヴィンダ</v>
      </c>
      <c r="C62" s="637" t="str">
        <f t="shared" si="5"/>
        <v>#N/A</v>
      </c>
      <c r="D62" s="200"/>
      <c r="E62" s="636" t="str">
        <f t="shared" si="6"/>
        <v>カヴィンダ</v>
      </c>
      <c r="F62" s="637" t="str">
        <f t="shared" si="7"/>
        <v>#N/A</v>
      </c>
      <c r="G62" s="200"/>
      <c r="H62" s="200"/>
      <c r="I62" s="172" t="b">
        <v>0</v>
      </c>
      <c r="J62" s="618"/>
      <c r="K62" s="638" t="s">
        <v>520</v>
      </c>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ソノダ</v>
      </c>
      <c r="C63" s="637" t="str">
        <f t="shared" si="5"/>
        <v>#N/A</v>
      </c>
      <c r="D63" s="200"/>
      <c r="E63" s="636" t="str">
        <f t="shared" si="6"/>
        <v>ソノダ</v>
      </c>
      <c r="F63" s="637" t="str">
        <f t="shared" si="7"/>
        <v>#N/A</v>
      </c>
      <c r="G63" s="200"/>
      <c r="H63" s="200"/>
      <c r="I63" s="172" t="b">
        <v>0</v>
      </c>
      <c r="J63" s="618"/>
      <c r="K63" s="638" t="s">
        <v>490</v>
      </c>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サルマ</v>
      </c>
      <c r="C64" s="637" t="str">
        <f t="shared" si="5"/>
        <v>#N/A</v>
      </c>
      <c r="D64" s="200"/>
      <c r="E64" s="636" t="str">
        <f t="shared" si="6"/>
        <v>サルマ</v>
      </c>
      <c r="F64" s="637" t="str">
        <f t="shared" si="7"/>
        <v>#N/A</v>
      </c>
      <c r="G64" s="200"/>
      <c r="H64" s="200"/>
      <c r="I64" s="172" t="b">
        <v>0</v>
      </c>
      <c r="J64" s="618"/>
      <c r="K64" s="638" t="s">
        <v>492</v>
      </c>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2</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551</v>
      </c>
      <c r="G9" s="723" t="s">
        <v>552</v>
      </c>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520</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460</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463</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472</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470</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454</v>
      </c>
      <c r="W18" s="716"/>
      <c r="X18" s="717">
        <v>46357.0</v>
      </c>
      <c r="Y18" s="661"/>
      <c r="Z18" s="661"/>
    </row>
    <row r="19" hidden="1" outlineLevel="1">
      <c r="B19" s="738"/>
      <c r="C19" s="697"/>
      <c r="D19" s="697"/>
      <c r="E19" s="697"/>
      <c r="F19" s="739" t="s">
        <v>521</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456</v>
      </c>
      <c r="W19" s="716"/>
      <c r="X19" s="717">
        <v>46388.0</v>
      </c>
      <c r="Y19" s="661"/>
      <c r="Z19" s="661"/>
    </row>
    <row r="20" hidden="1" outlineLevel="1">
      <c r="A20" s="661"/>
      <c r="B20" s="743"/>
      <c r="C20" s="744">
        <f>IF(C9="","",IF(DAY(C9+1)=1,"",C9+1))</f>
        <v>46055</v>
      </c>
      <c r="D20" s="745" t="str">
        <f>TEXT(C20,"ddd")</f>
        <v>月</v>
      </c>
      <c r="E20" s="746"/>
      <c r="F20" s="747" t="s">
        <v>551</v>
      </c>
      <c r="G20" s="748" t="s">
        <v>552</v>
      </c>
      <c r="H20" s="749"/>
      <c r="I20" s="750">
        <v>0.0</v>
      </c>
      <c r="J20" s="1129"/>
      <c r="K20" s="1129"/>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492</v>
      </c>
      <c r="W20" s="716"/>
      <c r="X20" s="717"/>
      <c r="Y20" s="661"/>
      <c r="Z20" s="661"/>
    </row>
    <row r="21" hidden="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525</v>
      </c>
      <c r="W21" s="716"/>
      <c r="X21" s="717"/>
      <c r="Y21" s="661"/>
      <c r="Z21" s="661"/>
    </row>
    <row r="22" hidden="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120</v>
      </c>
      <c r="W22" s="716"/>
      <c r="X22" s="717"/>
      <c r="Y22" s="661"/>
      <c r="Z22" s="661"/>
    </row>
    <row r="23" hidden="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idden="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769</v>
      </c>
      <c r="W24" s="661"/>
      <c r="X24" s="756"/>
      <c r="Y24" s="661"/>
      <c r="Z24" s="661"/>
    </row>
    <row r="25" hidden="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477</v>
      </c>
      <c r="W25" s="661"/>
      <c r="X25" s="756"/>
      <c r="Y25" s="661"/>
      <c r="Z25" s="661"/>
    </row>
    <row r="26" hidden="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475</v>
      </c>
      <c r="W26" s="661"/>
      <c r="X26" s="756"/>
      <c r="Y26" s="661"/>
      <c r="Z26" s="661"/>
    </row>
    <row r="27" hidden="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474</v>
      </c>
      <c r="W27" s="661"/>
      <c r="X27" s="756"/>
      <c r="Y27" s="661"/>
      <c r="Z27" s="661"/>
    </row>
    <row r="28" hidden="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6"/>
      <c r="Y28" s="661"/>
      <c r="Z28" s="661"/>
    </row>
    <row r="29" hidden="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480</v>
      </c>
      <c r="W29" s="661"/>
      <c r="X29" s="756"/>
      <c r="Y29" s="661"/>
      <c r="Z29" s="661"/>
    </row>
    <row r="30" hidden="1" outlineLevel="1">
      <c r="A30" s="661"/>
      <c r="B30" s="738"/>
      <c r="C30" s="697"/>
      <c r="D30" s="697"/>
      <c r="E30" s="697"/>
      <c r="F30" s="757" t="s">
        <v>521</v>
      </c>
      <c r="G30" s="758"/>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487</v>
      </c>
      <c r="W30" s="661"/>
      <c r="X30" s="756"/>
      <c r="Y30" s="661"/>
      <c r="Z30" s="661"/>
    </row>
    <row r="31" hidden="1" outlineLevel="1">
      <c r="A31" s="661"/>
      <c r="B31" s="760"/>
      <c r="C31" s="761">
        <f>IF(C20="","",IF(DAY(C20+1)=1,"",C20+1))</f>
        <v>46056</v>
      </c>
      <c r="D31" s="762" t="str">
        <f>TEXT(C31,"ddd")</f>
        <v>火</v>
      </c>
      <c r="E31" s="763"/>
      <c r="F31" s="764" t="s">
        <v>551</v>
      </c>
      <c r="G31" s="765" t="s">
        <v>552</v>
      </c>
      <c r="H31" s="766"/>
      <c r="I31" s="767">
        <v>0.0</v>
      </c>
      <c r="J31" s="762"/>
      <c r="K31" s="762"/>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165</v>
      </c>
      <c r="W31" s="661"/>
      <c r="X31" s="756"/>
      <c r="Y31" s="661"/>
      <c r="Z31" s="661"/>
    </row>
    <row r="32" hidden="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6"/>
      <c r="Y32" s="661"/>
      <c r="Z32" s="661"/>
    </row>
    <row r="33" hidden="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484</v>
      </c>
      <c r="W33" s="661"/>
      <c r="X33" s="756"/>
      <c r="Y33" s="661"/>
      <c r="Z33" s="661"/>
    </row>
    <row r="34" hidden="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6"/>
      <c r="Y34" s="661"/>
      <c r="Z34" s="661"/>
    </row>
    <row r="35" hidden="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73" t="s">
        <v>529</v>
      </c>
      <c r="W35" s="661"/>
      <c r="X35" s="756"/>
      <c r="Y35" s="661"/>
      <c r="Z35" s="661"/>
    </row>
    <row r="36" hidden="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73" t="s">
        <v>458</v>
      </c>
      <c r="W36" s="661"/>
      <c r="X36" s="756"/>
      <c r="Y36" s="661"/>
      <c r="Z36" s="661"/>
    </row>
    <row r="37" hidden="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772</v>
      </c>
      <c r="W37" s="661"/>
      <c r="X37" s="756"/>
      <c r="Y37" s="661"/>
      <c r="Z37" s="661"/>
    </row>
    <row r="38" hidden="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132</v>
      </c>
      <c r="W38" s="661"/>
      <c r="X38" s="756"/>
      <c r="Y38" s="661"/>
      <c r="Z38" s="661"/>
    </row>
    <row r="39" hidden="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773</v>
      </c>
      <c r="W39" s="661"/>
      <c r="X39" s="756"/>
      <c r="Y39" s="661"/>
      <c r="Z39" s="661"/>
    </row>
    <row r="40" hidden="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774</v>
      </c>
      <c r="W40" s="661"/>
      <c r="X40" s="756"/>
      <c r="Y40" s="661"/>
      <c r="Z40" s="661"/>
    </row>
    <row r="41" hidden="1" outlineLevel="1">
      <c r="A41" s="661"/>
      <c r="B41" s="738"/>
      <c r="C41" s="697"/>
      <c r="D41" s="697"/>
      <c r="E41" s="697"/>
      <c r="F41" s="739" t="s">
        <v>521</v>
      </c>
      <c r="G41" s="740"/>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776</v>
      </c>
      <c r="W41" s="661"/>
      <c r="X41" s="756"/>
      <c r="Y41" s="661"/>
      <c r="Z41" s="661"/>
    </row>
    <row r="42" hidden="1" outlineLevel="1">
      <c r="A42" s="661"/>
      <c r="B42" s="743"/>
      <c r="C42" s="744">
        <f>IF(C31="","",IF(DAY(C31+1)=1,"",C31+1))</f>
        <v>46057</v>
      </c>
      <c r="D42" s="745" t="str">
        <f>TEXT(C42,"ddd")</f>
        <v>水</v>
      </c>
      <c r="E42" s="746"/>
      <c r="F42" s="774" t="s">
        <v>551</v>
      </c>
      <c r="G42" s="775" t="s">
        <v>552</v>
      </c>
      <c r="H42" s="776"/>
      <c r="I42" s="777">
        <v>0.0</v>
      </c>
      <c r="J42" s="745"/>
      <c r="K42" s="745"/>
      <c r="L42" s="754"/>
      <c r="M42" s="754"/>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15" t="s">
        <v>637</v>
      </c>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t="s">
        <v>778</v>
      </c>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779</v>
      </c>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idden="1" outlineLevel="1">
      <c r="A52" s="661"/>
      <c r="B52" s="738"/>
      <c r="C52" s="697"/>
      <c r="D52" s="697"/>
      <c r="E52" s="697"/>
      <c r="F52" s="757" t="s">
        <v>521</v>
      </c>
      <c r="G52" s="758"/>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idden="1" outlineLevel="1">
      <c r="A53" s="661"/>
      <c r="B53" s="760"/>
      <c r="C53" s="761">
        <f>IF(C42="","",IF(DAY(C42+1)=1,"",C42+1))</f>
        <v>46058</v>
      </c>
      <c r="D53" s="762" t="str">
        <f>TEXT(C53,"ddd")</f>
        <v>木</v>
      </c>
      <c r="E53" s="763"/>
      <c r="F53" s="764" t="s">
        <v>551</v>
      </c>
      <c r="G53" s="765" t="s">
        <v>552</v>
      </c>
      <c r="H53" s="766"/>
      <c r="I53" s="767">
        <v>0.0</v>
      </c>
      <c r="J53" s="762"/>
      <c r="K53" s="762"/>
      <c r="L53" s="768"/>
      <c r="M53" s="768"/>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idden="1" outlineLevel="1">
      <c r="A54" s="661"/>
      <c r="B54" s="729"/>
      <c r="C54" s="730"/>
      <c r="D54" s="730"/>
      <c r="E54" s="730"/>
      <c r="F54" s="730"/>
      <c r="G54" s="731"/>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idden="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idden="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idden="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idden="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idden="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idden="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idden="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idden="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idden="1" outlineLevel="1">
      <c r="A63" s="661"/>
      <c r="B63" s="738"/>
      <c r="C63" s="697"/>
      <c r="D63" s="697"/>
      <c r="E63" s="697"/>
      <c r="F63" s="739" t="s">
        <v>521</v>
      </c>
      <c r="G63" s="740"/>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537</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idden="1" outlineLevel="1">
      <c r="A65" s="661"/>
      <c r="B65" s="743"/>
      <c r="C65" s="744">
        <f>IF(C53="","",IF(DAY(C53+1)=1,"",C53+1))</f>
        <v>46059</v>
      </c>
      <c r="D65" s="745" t="str">
        <f>TEXT(C65,"ddd")</f>
        <v>金</v>
      </c>
      <c r="E65" s="746"/>
      <c r="F65" s="774" t="s">
        <v>551</v>
      </c>
      <c r="G65" s="775" t="s">
        <v>552</v>
      </c>
      <c r="H65" s="776"/>
      <c r="I65" s="777">
        <v>0.0</v>
      </c>
      <c r="J65" s="745"/>
      <c r="K65" s="745"/>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idden="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idden="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idden="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idden="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idden="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idden="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idden="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idden="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idden="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idden="1" outlineLevel="1">
      <c r="A75" s="661"/>
      <c r="B75" s="738"/>
      <c r="C75" s="697"/>
      <c r="D75" s="697"/>
      <c r="E75" s="697"/>
      <c r="F75" s="757" t="s">
        <v>521</v>
      </c>
      <c r="G75" s="758"/>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idden="1" outlineLevel="1">
      <c r="A76" s="661"/>
      <c r="B76" s="760"/>
      <c r="C76" s="761">
        <f>IF(C65="","",IF(DAY(C65+1)=1,"",C65+1))</f>
        <v>46060</v>
      </c>
      <c r="D76" s="762" t="str">
        <f>TEXT(C76,"ddd")</f>
        <v>土</v>
      </c>
      <c r="E76" s="763"/>
      <c r="F76" s="764" t="s">
        <v>551</v>
      </c>
      <c r="G76" s="765" t="s">
        <v>552</v>
      </c>
      <c r="H76" s="766"/>
      <c r="I76" s="767">
        <v>0.0</v>
      </c>
      <c r="J76" s="762"/>
      <c r="K76" s="762"/>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idden="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idden="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idden="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idden="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idden="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idden="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idden="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idden="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idden="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idden="1" outlineLevel="1">
      <c r="A86" s="661"/>
      <c r="B86" s="738"/>
      <c r="C86" s="697"/>
      <c r="D86" s="697"/>
      <c r="E86" s="697"/>
      <c r="F86" s="739" t="s">
        <v>521</v>
      </c>
      <c r="G86" s="740"/>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idden="1" outlineLevel="1">
      <c r="A87" s="661"/>
      <c r="B87" s="743"/>
      <c r="C87" s="744">
        <f>IF(C76="","",IF(DAY(C76+1)=1,"",C76+1))</f>
        <v>46061</v>
      </c>
      <c r="D87" s="745" t="str">
        <f>TEXT(C87,"ddd")</f>
        <v>日</v>
      </c>
      <c r="E87" s="746"/>
      <c r="F87" s="774" t="s">
        <v>551</v>
      </c>
      <c r="G87" s="775" t="s">
        <v>552</v>
      </c>
      <c r="H87" s="776"/>
      <c r="I87" s="777">
        <v>0.0</v>
      </c>
      <c r="J87" s="745"/>
      <c r="K87" s="745"/>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idden="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idden="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idden="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idden="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idden="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idden="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idden="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idden="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idden="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idden="1" outlineLevel="1">
      <c r="A97" s="661"/>
      <c r="B97" s="738"/>
      <c r="C97" s="697"/>
      <c r="D97" s="697"/>
      <c r="E97" s="697"/>
      <c r="F97" s="757" t="s">
        <v>521</v>
      </c>
      <c r="G97" s="758"/>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idden="1" outlineLevel="1">
      <c r="A98" s="661"/>
      <c r="B98" s="760"/>
      <c r="C98" s="761">
        <f>IF(C87="","",IF(DAY(C87+1)=1,"",C87+1))</f>
        <v>46062</v>
      </c>
      <c r="D98" s="762" t="str">
        <f>TEXT(C98,"ddd")</f>
        <v>月</v>
      </c>
      <c r="E98" s="763"/>
      <c r="F98" s="764" t="s">
        <v>551</v>
      </c>
      <c r="G98" s="765" t="s">
        <v>552</v>
      </c>
      <c r="H98" s="766"/>
      <c r="I98" s="767">
        <v>0.0</v>
      </c>
      <c r="J98" s="762"/>
      <c r="K98" s="762"/>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idden="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idden="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idden="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idden="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idden="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idden="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idden="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idden="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idden="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idden="1" outlineLevel="1">
      <c r="A108" s="661"/>
      <c r="B108" s="738"/>
      <c r="C108" s="697"/>
      <c r="D108" s="697"/>
      <c r="E108" s="697"/>
      <c r="F108" s="739" t="s">
        <v>521</v>
      </c>
      <c r="G108" s="740"/>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idden="1" outlineLevel="1">
      <c r="A109" s="661"/>
      <c r="B109" s="743"/>
      <c r="C109" s="744">
        <f>IF(C98="","",IF(DAY(C98+1)=1,"",C98+1))</f>
        <v>46063</v>
      </c>
      <c r="D109" s="745" t="str">
        <f>TEXT(C109,"ddd")</f>
        <v>火</v>
      </c>
      <c r="E109" s="746"/>
      <c r="F109" s="774" t="s">
        <v>551</v>
      </c>
      <c r="G109" s="775" t="s">
        <v>552</v>
      </c>
      <c r="H109" s="776"/>
      <c r="I109" s="777">
        <v>0.0</v>
      </c>
      <c r="J109" s="745"/>
      <c r="K109" s="745"/>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idden="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idden="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idden="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idden="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idden="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idden="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idden="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idden="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idden="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idden="1" outlineLevel="1">
      <c r="A119" s="661"/>
      <c r="B119" s="738"/>
      <c r="C119" s="697"/>
      <c r="D119" s="697"/>
      <c r="E119" s="697"/>
      <c r="F119" s="757" t="s">
        <v>521</v>
      </c>
      <c r="G119" s="758"/>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550</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idden="1" outlineLevel="1">
      <c r="A121" s="661"/>
      <c r="B121" s="760"/>
      <c r="C121" s="761">
        <f>IF(C109="","",IF(DAY(C109+1)=1,"",C109+1))</f>
        <v>46064</v>
      </c>
      <c r="D121" s="762" t="str">
        <f>TEXT(C121,"ddd")</f>
        <v>水</v>
      </c>
      <c r="E121" s="763"/>
      <c r="F121" s="764" t="s">
        <v>551</v>
      </c>
      <c r="G121" s="765" t="s">
        <v>552</v>
      </c>
      <c r="H121" s="766"/>
      <c r="I121" s="767">
        <v>0.0</v>
      </c>
      <c r="J121" s="762"/>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idden="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idden="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idden="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idden="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idden="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idden="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idden="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idden="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idden="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idden="1" outlineLevel="1">
      <c r="A131" s="661"/>
      <c r="B131" s="738"/>
      <c r="C131" s="697"/>
      <c r="D131" s="697"/>
      <c r="E131" s="697"/>
      <c r="F131" s="739" t="s">
        <v>521</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idden="1" outlineLevel="1">
      <c r="A132" s="661"/>
      <c r="B132" s="743"/>
      <c r="C132" s="744">
        <f>IF(C121="","",IF(DAY(C121+1)=1,"",C121+1))</f>
        <v>46065</v>
      </c>
      <c r="D132" s="745" t="str">
        <f>TEXT(C132,"ddd")</f>
        <v>木</v>
      </c>
      <c r="E132" s="746"/>
      <c r="F132" s="774" t="s">
        <v>551</v>
      </c>
      <c r="G132" s="775" t="s">
        <v>552</v>
      </c>
      <c r="H132" s="776"/>
      <c r="I132" s="777">
        <v>0.0</v>
      </c>
      <c r="J132" s="745"/>
      <c r="K132" s="745"/>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idden="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idden="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idden="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idden="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idden="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idden="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idden="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idden="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idden="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idden="1" outlineLevel="1">
      <c r="A142" s="661"/>
      <c r="B142" s="738"/>
      <c r="C142" s="697"/>
      <c r="D142" s="697"/>
      <c r="E142" s="697"/>
      <c r="F142" s="757" t="s">
        <v>521</v>
      </c>
      <c r="G142" s="758"/>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idden="1" outlineLevel="1">
      <c r="A143" s="661"/>
      <c r="B143" s="760"/>
      <c r="C143" s="761">
        <f>IF(C132="","",IF(DAY(C132+1)=1,"",C132+1))</f>
        <v>46066</v>
      </c>
      <c r="D143" s="762" t="str">
        <f>TEXT(C143,"ddd")</f>
        <v>金</v>
      </c>
      <c r="E143" s="763"/>
      <c r="F143" s="764" t="s">
        <v>551</v>
      </c>
      <c r="G143" s="765" t="s">
        <v>552</v>
      </c>
      <c r="H143" s="766"/>
      <c r="I143" s="767">
        <v>0.0</v>
      </c>
      <c r="J143" s="762"/>
      <c r="K143" s="762"/>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idden="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idden="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idden="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idden="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idden="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idden="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idden="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idden="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idden="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idden="1" outlineLevel="1">
      <c r="A153" s="661"/>
      <c r="B153" s="738"/>
      <c r="C153" s="697"/>
      <c r="D153" s="697"/>
      <c r="E153" s="697"/>
      <c r="F153" s="739" t="s">
        <v>521</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idden="1" outlineLevel="1">
      <c r="A154" s="661"/>
      <c r="B154" s="743"/>
      <c r="C154" s="744">
        <f>IF(C143="","",IF(DAY(C143+1)=1,"",C143+1))</f>
        <v>46067</v>
      </c>
      <c r="D154" s="745" t="str">
        <f>TEXT(C154,"ddd")</f>
        <v>土</v>
      </c>
      <c r="E154" s="746"/>
      <c r="F154" s="774" t="s">
        <v>551</v>
      </c>
      <c r="G154" s="775" t="s">
        <v>552</v>
      </c>
      <c r="H154" s="776"/>
      <c r="I154" s="777">
        <v>0.0</v>
      </c>
      <c r="J154" s="745"/>
      <c r="K154" s="745"/>
      <c r="L154" s="754"/>
      <c r="M154" s="754"/>
      <c r="N154" s="774"/>
      <c r="O154" s="778"/>
      <c r="P154" s="770"/>
      <c r="Q154" s="771"/>
      <c r="R154" s="661"/>
      <c r="S154" s="228" t="str">
        <f t="array" ref="S154">IFERROR(INDEX('💻シート作成'!$D$6:$D1001, MATCH(T154, '💻シート作成'!$E$6:$E1001, 0)), "")</f>
        <v/>
      </c>
      <c r="T154" s="184"/>
      <c r="U154" s="664"/>
      <c r="V154" s="773"/>
      <c r="W154" s="661"/>
      <c r="X154" s="756"/>
      <c r="Y154" s="661"/>
      <c r="Z154" s="661"/>
    </row>
    <row r="155" hidden="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idden="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idden="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idden="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idden="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idden="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idden="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idden="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idden="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idden="1" outlineLevel="1">
      <c r="A164" s="661"/>
      <c r="B164" s="738"/>
      <c r="C164" s="697"/>
      <c r="D164" s="697"/>
      <c r="E164" s="697"/>
      <c r="F164" s="757" t="s">
        <v>521</v>
      </c>
      <c r="G164" s="758"/>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idden="1" outlineLevel="1">
      <c r="A165" s="661"/>
      <c r="B165" s="760"/>
      <c r="C165" s="761">
        <f>IF(C154="","",IF(DAY(C154+1)=1,"",C154+1))</f>
        <v>46068</v>
      </c>
      <c r="D165" s="762" t="str">
        <f>TEXT(C165,"ddd")</f>
        <v>日</v>
      </c>
      <c r="E165" s="763"/>
      <c r="F165" s="764" t="s">
        <v>551</v>
      </c>
      <c r="G165" s="765" t="s">
        <v>552</v>
      </c>
      <c r="H165" s="766"/>
      <c r="I165" s="767">
        <v>0.0</v>
      </c>
      <c r="J165" s="762"/>
      <c r="K165" s="762"/>
      <c r="L165" s="768"/>
      <c r="M165" s="768"/>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idden="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idden="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idden="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idden="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idden="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idden="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idden="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idden="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idden="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idden="1" outlineLevel="1">
      <c r="A175" s="661"/>
      <c r="B175" s="738"/>
      <c r="C175" s="697"/>
      <c r="D175" s="697"/>
      <c r="E175" s="697"/>
      <c r="F175" s="739" t="s">
        <v>521</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553</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idden="1" outlineLevel="1">
      <c r="A177" s="661"/>
      <c r="B177" s="743"/>
      <c r="C177" s="744">
        <f>IF(C165="","",IF(DAY(C165+1)=1,"",C165+1))</f>
        <v>46069</v>
      </c>
      <c r="D177" s="745" t="str">
        <f>TEXT(C177,"ddd")</f>
        <v>月</v>
      </c>
      <c r="E177" s="746"/>
      <c r="F177" s="774" t="s">
        <v>551</v>
      </c>
      <c r="G177" s="775" t="s">
        <v>552</v>
      </c>
      <c r="H177" s="776"/>
      <c r="I177" s="777">
        <v>0.0</v>
      </c>
      <c r="J177" s="745"/>
      <c r="K177" s="745"/>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idden="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idden="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idden="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idden="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idden="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idden="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idden="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idden="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idden="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idden="1" outlineLevel="1">
      <c r="A187" s="661"/>
      <c r="B187" s="738"/>
      <c r="C187" s="697"/>
      <c r="D187" s="697"/>
      <c r="E187" s="697"/>
      <c r="F187" s="757" t="s">
        <v>521</v>
      </c>
      <c r="G187" s="758"/>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46070</v>
      </c>
      <c r="D188" s="762" t="str">
        <f>TEXT(C188,"ddd")</f>
        <v>火</v>
      </c>
      <c r="E188" s="763"/>
      <c r="F188" s="764" t="s">
        <v>551</v>
      </c>
      <c r="G188" s="765" t="s">
        <v>552</v>
      </c>
      <c r="H188" s="766"/>
      <c r="I188" s="767">
        <v>0.0</v>
      </c>
      <c r="J188" s="762"/>
      <c r="K188" s="762"/>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idden="1" outlineLevel="1">
      <c r="A198" s="661"/>
      <c r="B198" s="738"/>
      <c r="C198" s="697"/>
      <c r="D198" s="697"/>
      <c r="E198" s="697"/>
      <c r="F198" s="739" t="s">
        <v>521</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idden="1" outlineLevel="1">
      <c r="A199" s="661"/>
      <c r="B199" s="743"/>
      <c r="C199" s="744">
        <f>IF(C188="","",IF(DAY(C188+1)=1,"",C188+1))</f>
        <v>46071</v>
      </c>
      <c r="D199" s="745" t="str">
        <f>TEXT(C199,"ddd")</f>
        <v>水</v>
      </c>
      <c r="E199" s="746"/>
      <c r="F199" s="774" t="s">
        <v>551</v>
      </c>
      <c r="G199" s="775" t="s">
        <v>552</v>
      </c>
      <c r="H199" s="776"/>
      <c r="I199" s="777">
        <v>0.0</v>
      </c>
      <c r="J199" s="745"/>
      <c r="K199" s="745"/>
      <c r="L199" s="754"/>
      <c r="M199" s="754"/>
      <c r="N199" s="774"/>
      <c r="O199" s="778"/>
      <c r="P199" s="770"/>
      <c r="Q199" s="771"/>
      <c r="R199" s="661"/>
      <c r="S199" s="228" t="str">
        <f t="array" ref="S199">IFERROR(INDEX('💻シート作成'!$D$6:$D1001, MATCH(T199, '💻シート作成'!$E$6:$E1001, 0)), "")</f>
        <v/>
      </c>
      <c r="T199" s="184"/>
      <c r="U199" s="664"/>
      <c r="V199" s="773"/>
      <c r="W199" s="661"/>
      <c r="X199" s="756"/>
      <c r="Y199" s="661"/>
      <c r="Z199" s="661"/>
    </row>
    <row r="200" hidden="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idden="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idden="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idden="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idden="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idden="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idden="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idden="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idden="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idden="1" outlineLevel="1">
      <c r="A209" s="661"/>
      <c r="B209" s="738"/>
      <c r="C209" s="697"/>
      <c r="D209" s="697"/>
      <c r="E209" s="697"/>
      <c r="F209" s="757" t="s">
        <v>521</v>
      </c>
      <c r="G209" s="758"/>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idden="1" outlineLevel="1">
      <c r="A210" s="661"/>
      <c r="B210" s="760"/>
      <c r="C210" s="761">
        <f>IF(C199="","",IF(DAY(C199+1)=1,"",C199+1))</f>
        <v>46072</v>
      </c>
      <c r="D210" s="762" t="str">
        <f>TEXT(C210,"ddd")</f>
        <v>木</v>
      </c>
      <c r="E210" s="763"/>
      <c r="F210" s="764" t="s">
        <v>551</v>
      </c>
      <c r="G210" s="765" t="s">
        <v>552</v>
      </c>
      <c r="H210" s="766"/>
      <c r="I210" s="767">
        <v>0.0</v>
      </c>
      <c r="J210" s="762"/>
      <c r="K210" s="762"/>
      <c r="L210" s="768"/>
      <c r="M210" s="768"/>
      <c r="N210" s="764"/>
      <c r="O210" s="769"/>
      <c r="P210" s="770"/>
      <c r="Q210" s="771"/>
      <c r="R210" s="661"/>
      <c r="S210" s="228" t="str">
        <f t="array" ref="S210">IFERROR(INDEX('💻シート作成'!$D$6:$D1001, MATCH(T210, '💻シート作成'!$E$6:$E1001, 0)), "")</f>
        <v/>
      </c>
      <c r="T210" s="184"/>
      <c r="U210" s="664"/>
      <c r="V210" s="773"/>
      <c r="W210" s="661"/>
      <c r="X210" s="756"/>
      <c r="Y210" s="661"/>
      <c r="Z210" s="661"/>
    </row>
    <row r="211" hidden="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idden="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idden="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idden="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idden="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idden="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idden="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idden="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idden="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idden="1" outlineLevel="1">
      <c r="A220" s="661"/>
      <c r="B220" s="738"/>
      <c r="C220" s="697"/>
      <c r="D220" s="697"/>
      <c r="E220" s="697"/>
      <c r="F220" s="739" t="s">
        <v>521</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idden="1" outlineLevel="1">
      <c r="A221" s="661"/>
      <c r="B221" s="743"/>
      <c r="C221" s="744">
        <f>IF(C210="","",IF(DAY(C210+1)=1,"",C210+1))</f>
        <v>46073</v>
      </c>
      <c r="D221" s="745" t="str">
        <f>TEXT(C221,"ddd")</f>
        <v>金</v>
      </c>
      <c r="E221" s="746"/>
      <c r="F221" s="774" t="s">
        <v>551</v>
      </c>
      <c r="G221" s="775" t="s">
        <v>552</v>
      </c>
      <c r="H221" s="776"/>
      <c r="I221" s="777">
        <v>0.0</v>
      </c>
      <c r="J221" s="745"/>
      <c r="K221" s="745"/>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idden="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idden="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idden="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idden="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idden="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idden="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idden="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idden="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idden="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idden="1" outlineLevel="1">
      <c r="A231" s="661"/>
      <c r="B231" s="738"/>
      <c r="C231" s="697"/>
      <c r="D231" s="697"/>
      <c r="E231" s="697"/>
      <c r="F231" s="757" t="s">
        <v>521</v>
      </c>
      <c r="G231" s="758"/>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554</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idden="1" outlineLevel="1">
      <c r="A233" s="661"/>
      <c r="B233" s="760"/>
      <c r="C233" s="761">
        <f>IF(C221="","",IF(DAY(C221+1)=1,"",C221+1))</f>
        <v>46074</v>
      </c>
      <c r="D233" s="762" t="str">
        <f>TEXT(C233,"ddd")</f>
        <v>土</v>
      </c>
      <c r="E233" s="763"/>
      <c r="F233" s="764" t="s">
        <v>551</v>
      </c>
      <c r="G233" s="765" t="s">
        <v>552</v>
      </c>
      <c r="H233" s="766"/>
      <c r="I233" s="767">
        <v>0.0</v>
      </c>
      <c r="J233" s="762"/>
      <c r="K233" s="762"/>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idden="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idden="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idden="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idden="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idden="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idden="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idden="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idden="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idden="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idden="1" outlineLevel="1">
      <c r="A243" s="661"/>
      <c r="B243" s="738"/>
      <c r="C243" s="697"/>
      <c r="D243" s="697"/>
      <c r="E243" s="697"/>
      <c r="F243" s="739" t="s">
        <v>521</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idden="1" outlineLevel="1">
      <c r="A244" s="661"/>
      <c r="B244" s="743"/>
      <c r="C244" s="744">
        <f>IF(C233="","",IF(DAY(C233+1)=1,"",C233+1))</f>
        <v>46075</v>
      </c>
      <c r="D244" s="745" t="str">
        <f>TEXT(C244,"ddd")</f>
        <v>日</v>
      </c>
      <c r="E244" s="746"/>
      <c r="F244" s="774" t="s">
        <v>551</v>
      </c>
      <c r="G244" s="775" t="s">
        <v>552</v>
      </c>
      <c r="H244" s="776"/>
      <c r="I244" s="777">
        <v>0.0</v>
      </c>
      <c r="J244" s="745"/>
      <c r="K244" s="745"/>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idden="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idden="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idden="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idden="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idden="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idden="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idden="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idden="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idden="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idden="1" outlineLevel="1">
      <c r="A254" s="661"/>
      <c r="B254" s="738"/>
      <c r="C254" s="697"/>
      <c r="D254" s="697"/>
      <c r="E254" s="697"/>
      <c r="F254" s="757" t="s">
        <v>521</v>
      </c>
      <c r="G254" s="758"/>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idden="1" outlineLevel="1">
      <c r="A255" s="661"/>
      <c r="B255" s="760"/>
      <c r="C255" s="761">
        <f>IF(C244="","",IF(DAY(C244+1)=1,"",C244+1))</f>
        <v>46076</v>
      </c>
      <c r="D255" s="762" t="str">
        <f>TEXT(C255,"ddd")</f>
        <v>月</v>
      </c>
      <c r="E255" s="763"/>
      <c r="F255" s="764" t="s">
        <v>551</v>
      </c>
      <c r="G255" s="765" t="s">
        <v>552</v>
      </c>
      <c r="H255" s="766"/>
      <c r="I255" s="767">
        <v>0.0</v>
      </c>
      <c r="J255" s="762"/>
      <c r="K255" s="762"/>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idden="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idden="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idden="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idden="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idden="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idden="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idden="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idden="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idden="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idden="1" outlineLevel="1">
      <c r="A265" s="661"/>
      <c r="B265" s="738"/>
      <c r="C265" s="697"/>
      <c r="D265" s="697"/>
      <c r="E265" s="697"/>
      <c r="F265" s="739" t="s">
        <v>521</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46077</v>
      </c>
      <c r="D266" s="745" t="str">
        <f>TEXT(C266,"ddd")</f>
        <v>火</v>
      </c>
      <c r="E266" s="746"/>
      <c r="F266" s="774" t="s">
        <v>551</v>
      </c>
      <c r="G266" s="775" t="s">
        <v>552</v>
      </c>
      <c r="H266" s="776"/>
      <c r="I266" s="777">
        <v>0.0</v>
      </c>
      <c r="J266" s="745"/>
      <c r="K266" s="745"/>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idden="1" outlineLevel="1">
      <c r="A276" s="661"/>
      <c r="B276" s="738"/>
      <c r="C276" s="697"/>
      <c r="D276" s="697"/>
      <c r="E276" s="697"/>
      <c r="F276" s="757" t="s">
        <v>521</v>
      </c>
      <c r="G276" s="758"/>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idden="1" outlineLevel="1">
      <c r="A277" s="661"/>
      <c r="B277" s="760"/>
      <c r="C277" s="761">
        <f>IF(C266="","",IF(DAY(C266+1)=1,"",C266+1))</f>
        <v>46078</v>
      </c>
      <c r="D277" s="762" t="str">
        <f>TEXT(C277,"ddd")</f>
        <v>水</v>
      </c>
      <c r="E277" s="763"/>
      <c r="F277" s="764" t="s">
        <v>551</v>
      </c>
      <c r="G277" s="765" t="s">
        <v>552</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idden="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idden="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idden="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idden="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idden="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idden="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idden="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idden="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idden="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idden="1" outlineLevel="1">
      <c r="A287" s="661"/>
      <c r="B287" s="738"/>
      <c r="C287" s="697"/>
      <c r="D287" s="697"/>
      <c r="E287" s="697"/>
      <c r="F287" s="739" t="s">
        <v>521</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ollapsed="1">
      <c r="A288" s="661"/>
      <c r="B288" s="779" t="s">
        <v>555</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idden="1" outlineLevel="1">
      <c r="A289" s="661"/>
      <c r="B289" s="743"/>
      <c r="C289" s="744">
        <f>IF(C277="","",IF(DAY(C277+1)=1,"",C277+1))</f>
        <v>46079</v>
      </c>
      <c r="D289" s="745" t="str">
        <f>TEXT(C289,"ddd")</f>
        <v>木</v>
      </c>
      <c r="E289" s="746"/>
      <c r="F289" s="774" t="s">
        <v>551</v>
      </c>
      <c r="G289" s="775" t="s">
        <v>552</v>
      </c>
      <c r="H289" s="776"/>
      <c r="I289" s="777">
        <v>0.0</v>
      </c>
      <c r="J289" s="745"/>
      <c r="K289" s="745"/>
      <c r="L289" s="754"/>
      <c r="M289" s="754"/>
      <c r="N289" s="774"/>
      <c r="O289" s="778"/>
      <c r="P289" s="770"/>
      <c r="Q289" s="771"/>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7" t="s">
        <v>521</v>
      </c>
      <c r="G299" s="758"/>
      <c r="H299" s="741"/>
      <c r="I299" s="741"/>
      <c r="J299" s="741"/>
      <c r="K299" s="741"/>
      <c r="L299" s="758"/>
      <c r="M299" s="758"/>
      <c r="N299" s="758"/>
      <c r="O299" s="758"/>
      <c r="P299" s="758"/>
      <c r="Q299" s="759"/>
      <c r="R299" s="661"/>
      <c r="S299" s="661"/>
      <c r="T299" s="661"/>
      <c r="U299" s="664"/>
      <c r="V299" s="665"/>
      <c r="W299" s="661"/>
      <c r="X299" s="661"/>
      <c r="Y299" s="661"/>
      <c r="Z299" s="661"/>
    </row>
    <row r="300" hidden="1" outlineLevel="1">
      <c r="A300" s="661"/>
      <c r="B300" s="760"/>
      <c r="C300" s="761">
        <f>IF(C289="","",IF(DAY(C289+1)=1,"",C289+1))</f>
        <v>46080</v>
      </c>
      <c r="D300" s="762" t="str">
        <f>TEXT(C300,"ddd")</f>
        <v>金</v>
      </c>
      <c r="E300" s="763"/>
      <c r="F300" s="764" t="s">
        <v>551</v>
      </c>
      <c r="G300" s="765" t="s">
        <v>552</v>
      </c>
      <c r="H300" s="766"/>
      <c r="I300" s="767">
        <v>0.0</v>
      </c>
      <c r="J300" s="762"/>
      <c r="K300" s="762"/>
      <c r="L300" s="768"/>
      <c r="M300" s="768"/>
      <c r="N300" s="764"/>
      <c r="O300" s="769"/>
      <c r="P300" s="770"/>
      <c r="Q300" s="771"/>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521</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46081</v>
      </c>
      <c r="D311" s="745" t="str">
        <f>TEXT(C311,"ddd")</f>
        <v>土</v>
      </c>
      <c r="E311" s="746"/>
      <c r="F311" s="774" t="s">
        <v>551</v>
      </c>
      <c r="G311" s="775" t="s">
        <v>552</v>
      </c>
      <c r="H311" s="776"/>
      <c r="I311" s="777">
        <v>0.0</v>
      </c>
      <c r="J311" s="745"/>
      <c r="K311" s="745"/>
      <c r="L311" s="754"/>
      <c r="M311" s="754"/>
      <c r="N311" s="774"/>
      <c r="O311" s="778"/>
      <c r="P311" s="770"/>
      <c r="Q311" s="771"/>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7" t="s">
        <v>521</v>
      </c>
      <c r="G321" s="758"/>
      <c r="H321" s="741"/>
      <c r="I321" s="741"/>
      <c r="J321" s="741"/>
      <c r="K321" s="741"/>
      <c r="L321" s="758"/>
      <c r="M321" s="758"/>
      <c r="N321" s="758"/>
      <c r="O321" s="758"/>
      <c r="P321" s="758"/>
      <c r="Q321" s="759"/>
      <c r="R321" s="661"/>
      <c r="S321" s="661"/>
      <c r="T321" s="661"/>
      <c r="U321" s="664"/>
      <c r="V321" s="665"/>
      <c r="W321" s="661"/>
      <c r="X321" s="661"/>
      <c r="Y321" s="661"/>
      <c r="Z321" s="661"/>
    </row>
    <row r="322" hidden="1" outlineLevel="1">
      <c r="A322" s="661"/>
      <c r="B322" s="760"/>
      <c r="C322" s="761" t="str">
        <f>IF(C311="","",IF(DAY(C311+1)=1,"",C311+1))</f>
        <v/>
      </c>
      <c r="D322" s="762" t="str">
        <f>TEXT(C322,"ddd")</f>
        <v/>
      </c>
      <c r="E322" s="763"/>
      <c r="F322" s="764" t="s">
        <v>551</v>
      </c>
      <c r="G322" s="765" t="s">
        <v>552</v>
      </c>
      <c r="H322" s="766"/>
      <c r="I322" s="767">
        <v>0.0</v>
      </c>
      <c r="J322" s="762"/>
      <c r="K322" s="762"/>
      <c r="L322" s="768"/>
      <c r="M322" s="768"/>
      <c r="N322" s="764"/>
      <c r="O322" s="769"/>
      <c r="P322" s="770"/>
      <c r="Q322" s="771"/>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t="str">
        <f>IF(C322="","",IF(DAY(C322+1)=1,"",C322+1))</f>
        <v/>
      </c>
      <c r="D333" s="745" t="str">
        <f>TEXT(C333,"ddd")</f>
        <v/>
      </c>
      <c r="E333" s="746"/>
      <c r="F333" s="774" t="s">
        <v>551</v>
      </c>
      <c r="G333" s="775" t="s">
        <v>552</v>
      </c>
      <c r="H333" s="776"/>
      <c r="I333" s="777">
        <v>0.0</v>
      </c>
      <c r="J333" s="745"/>
      <c r="K333" s="745"/>
      <c r="L333" s="754"/>
      <c r="M333" s="754"/>
      <c r="N333" s="774"/>
      <c r="O333" s="778"/>
      <c r="P333" s="770"/>
      <c r="Q333" s="771"/>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hidden="1" outlineLevel="1">
      <c r="A344" s="661"/>
      <c r="B344" s="760"/>
      <c r="C344" s="761" t="str">
        <f>IF(C333="","",IF(DAY(C333+1)=1,"",C333+1))</f>
        <v/>
      </c>
      <c r="D344" s="762" t="str">
        <f>TEXT(C344,"ddd")</f>
        <v/>
      </c>
      <c r="E344" s="763"/>
      <c r="F344" s="764" t="s">
        <v>551</v>
      </c>
      <c r="G344" s="765" t="s">
        <v>552</v>
      </c>
      <c r="H344" s="766"/>
      <c r="I344" s="767">
        <v>0.0</v>
      </c>
      <c r="J344" s="762"/>
      <c r="K344" s="762"/>
      <c r="L344" s="768"/>
      <c r="M344" s="768"/>
      <c r="N344" s="764"/>
      <c r="O344" s="769"/>
      <c r="P344" s="770"/>
      <c r="Q344" s="771"/>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idden="1"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556</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557</v>
      </c>
      <c r="C4" s="805"/>
      <c r="D4" s="806" t="s">
        <v>558</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c r="E5" s="810" t="b">
        <v>0</v>
      </c>
      <c r="F5" s="808" t="s">
        <v>559</v>
      </c>
      <c r="G5" s="811"/>
      <c r="H5" s="812" t="b">
        <v>0</v>
      </c>
      <c r="J5" s="813"/>
      <c r="K5" s="797"/>
      <c r="L5" s="814" t="s">
        <v>560</v>
      </c>
      <c r="T5" s="813"/>
      <c r="U5" s="815" t="s">
        <v>561</v>
      </c>
      <c r="AC5" s="798"/>
      <c r="AD5" s="816" t="s">
        <v>96</v>
      </c>
      <c r="AE5" s="816" t="s">
        <v>562</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563</v>
      </c>
      <c r="M7" s="236"/>
      <c r="N7" s="236"/>
      <c r="O7" s="236"/>
      <c r="P7" s="236"/>
      <c r="Q7" s="236"/>
      <c r="R7" s="236"/>
      <c r="S7" s="113"/>
      <c r="T7" s="820" t="s">
        <v>564</v>
      </c>
      <c r="U7" s="821" t="s">
        <v>565</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566</v>
      </c>
      <c r="C8" s="823"/>
      <c r="D8" s="824" t="s">
        <v>51</v>
      </c>
      <c r="E8" s="825" t="str">
        <f>IFERROR(__xludf.DUMMYFUNCTION("IFERROR(INDEX(FILTER($AE$6:$AE$200, $AD$6:$AD$200=$B$5, REGEXMATCH($AE$6:$AE$200, ""集計"")), 1), """")
"),"①R8_2集計")</f>
        <v>①R8_2集計</v>
      </c>
      <c r="F8" s="526"/>
      <c r="G8" s="223"/>
      <c r="H8" s="223"/>
      <c r="I8" s="200"/>
      <c r="J8" s="813"/>
      <c r="K8" s="797"/>
      <c r="L8" s="826"/>
      <c r="M8" s="247"/>
      <c r="N8" s="247"/>
      <c r="O8" s="247"/>
      <c r="P8" s="247"/>
      <c r="Q8" s="247"/>
      <c r="R8" s="247"/>
      <c r="S8" s="250"/>
      <c r="U8" s="826"/>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0.1556509123</v>
      </c>
      <c r="D10" s="832">
        <f t="array" ref="D10">INDIRECT($E$8 &amp; "!E8")</f>
        <v>0.6397365986</v>
      </c>
      <c r="E10" s="832">
        <f t="array" ref="E10">INDIRECT($E$8 &amp; "!G8")</f>
        <v>0.8718105736</v>
      </c>
      <c r="F10" s="833">
        <f t="array" ref="F10">INDIRECT($E$8 &amp; "!H8")</f>
        <v>4791800</v>
      </c>
      <c r="G10" s="833">
        <f t="array" ref="G10">INDIRECT($E$8 &amp; "!K8")</f>
        <v>10328</v>
      </c>
      <c r="H10" s="833">
        <f t="array" ref="H10">INDIRECT($E$8 &amp; "!M8")</f>
        <v>745848.0417</v>
      </c>
      <c r="I10" s="832">
        <f t="array" ref="I10">INDIRECT($E$8 &amp; "!AT7")</f>
        <v>0.001428863033</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0.2560644624</v>
      </c>
      <c r="D11" s="836"/>
      <c r="E11" s="837"/>
      <c r="F11" s="838">
        <f t="array" ref="F11">INDIRECT($E$8 &amp; "!H7")</f>
        <v>4642325</v>
      </c>
      <c r="G11" s="836"/>
      <c r="H11" s="839">
        <f t="array" ref="H11">INDIRECT($E$8 &amp; "!M7")</f>
        <v>1188734.455</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567</v>
      </c>
      <c r="C13" s="843"/>
      <c r="D13" s="844" t="s">
        <v>51</v>
      </c>
      <c r="E13" s="845" t="s">
        <v>568</v>
      </c>
      <c r="F13" s="200"/>
      <c r="G13" s="200"/>
      <c r="H13" s="846" t="s">
        <v>35</v>
      </c>
      <c r="I13" s="847">
        <f t="array" ref="I13">xlookup($B$5,'🔵クレーム'!$C$10:$C$21,'🔵クレーム'!X$10:X$21)</f>
        <v>0.001588021779</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569</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1</v>
      </c>
      <c r="F15" s="850">
        <f t="array" ref="F15">xlookup($B$5,'🔵クレーム'!$C$10:$C$21,'🔵クレーム'!H$10:H$21)</f>
        <v>1</v>
      </c>
      <c r="G15" s="850">
        <f t="array" ref="G15">xlookup($B$5,'🔵クレーム'!$C$10:$C$21,'🔵クレーム'!I$10:I$21)</f>
        <v>2</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2</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570</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571</v>
      </c>
      <c r="C20" s="829" t="s">
        <v>572</v>
      </c>
      <c r="D20" s="829" t="s">
        <v>89</v>
      </c>
      <c r="E20" s="829" t="s">
        <v>90</v>
      </c>
      <c r="F20" s="829" t="s">
        <v>573</v>
      </c>
      <c r="G20" s="829" t="s">
        <v>135</v>
      </c>
      <c r="H20" s="829" t="s">
        <v>135</v>
      </c>
      <c r="I20" s="829" t="s">
        <v>574</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c r="C21" s="861"/>
      <c r="D21" s="861"/>
      <c r="E21" s="861"/>
      <c r="F21" s="862"/>
      <c r="G21" s="862"/>
      <c r="H21" s="862"/>
      <c r="I21" s="863">
        <f>sum(B21:G21)</f>
        <v>0</v>
      </c>
      <c r="J21" s="813"/>
      <c r="K21" s="797"/>
      <c r="L21" s="864" t="s">
        <v>575</v>
      </c>
      <c r="M21" s="232"/>
      <c r="N21" s="232"/>
      <c r="O21" s="232"/>
      <c r="P21" s="232"/>
      <c r="Q21" s="232"/>
      <c r="R21" s="232"/>
      <c r="S21" s="3"/>
      <c r="T21" s="820" t="s">
        <v>564</v>
      </c>
      <c r="U21" s="821" t="s">
        <v>576</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c r="M22" s="247"/>
      <c r="N22" s="247"/>
      <c r="O22" s="247"/>
      <c r="P22" s="247"/>
      <c r="Q22" s="247"/>
      <c r="R22" s="247"/>
      <c r="S22" s="250"/>
      <c r="U22" s="826"/>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577</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578</v>
      </c>
      <c r="C25" s="869" t="s">
        <v>579</v>
      </c>
      <c r="D25" s="3"/>
      <c r="E25" s="869" t="s">
        <v>580</v>
      </c>
      <c r="F25" s="232"/>
      <c r="G25" s="232"/>
      <c r="H25" s="869" t="s">
        <v>581</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c r="C26" s="871"/>
      <c r="D26" s="3"/>
      <c r="E26" s="871"/>
      <c r="F26" s="232"/>
      <c r="G26" s="232"/>
      <c r="H26" s="872"/>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582</v>
      </c>
      <c r="M35" s="232"/>
      <c r="N35" s="232"/>
      <c r="O35" s="232"/>
      <c r="P35" s="232"/>
      <c r="Q35" s="232"/>
      <c r="R35" s="232"/>
      <c r="S35" s="3"/>
      <c r="T35" s="820" t="s">
        <v>564</v>
      </c>
      <c r="U35" s="821" t="s">
        <v>582</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c r="M36" s="247"/>
      <c r="N36" s="247"/>
      <c r="O36" s="247"/>
      <c r="P36" s="247"/>
      <c r="Q36" s="247"/>
      <c r="R36" s="247"/>
      <c r="S36" s="250"/>
      <c r="U36" s="826"/>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583</v>
      </c>
      <c r="C37" s="876"/>
      <c r="D37" s="877">
        <f>counta(C39:D48)</f>
        <v>0</v>
      </c>
      <c r="E37" s="878" t="s">
        <v>584</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580</v>
      </c>
      <c r="F38" s="882"/>
      <c r="G38" s="881" t="s">
        <v>585</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586</v>
      </c>
      <c r="M49" s="232"/>
      <c r="N49" s="232"/>
      <c r="O49" s="232"/>
      <c r="P49" s="232"/>
      <c r="Q49" s="232"/>
      <c r="R49" s="232"/>
      <c r="S49" s="3"/>
      <c r="T49" s="820" t="s">
        <v>564</v>
      </c>
      <c r="U49" s="821" t="s">
        <v>587</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588</v>
      </c>
      <c r="C50" s="895"/>
      <c r="D50" s="896">
        <f>COUNTA(C52:D62)</f>
        <v>0</v>
      </c>
      <c r="E50" s="859"/>
      <c r="F50" s="859"/>
      <c r="G50" s="859"/>
      <c r="H50" s="859"/>
      <c r="I50" s="798"/>
      <c r="J50" s="798"/>
      <c r="K50" s="797"/>
      <c r="L50" s="826"/>
      <c r="M50" s="247"/>
      <c r="N50" s="247"/>
      <c r="O50" s="247"/>
      <c r="P50" s="247"/>
      <c r="Q50" s="247"/>
      <c r="R50" s="247"/>
      <c r="S50" s="250"/>
      <c r="U50" s="826"/>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589</v>
      </c>
      <c r="C51" s="881" t="s">
        <v>437</v>
      </c>
      <c r="D51" s="882"/>
      <c r="E51" s="880" t="s">
        <v>590</v>
      </c>
      <c r="F51" s="880" t="s">
        <v>591</v>
      </c>
      <c r="G51" s="880" t="s">
        <v>592</v>
      </c>
      <c r="H51" s="881" t="s">
        <v>593</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594</v>
      </c>
      <c r="M63" s="232"/>
      <c r="N63" s="232"/>
      <c r="O63" s="232"/>
      <c r="P63" s="232"/>
      <c r="Q63" s="232"/>
      <c r="R63" s="232"/>
      <c r="S63" s="3"/>
      <c r="T63" s="820" t="s">
        <v>564</v>
      </c>
      <c r="U63" s="821" t="s">
        <v>595</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596</v>
      </c>
      <c r="C64" s="902"/>
      <c r="D64" s="896">
        <f>COUNTA(C66:D76)</f>
        <v>0</v>
      </c>
      <c r="E64" s="859"/>
      <c r="F64" s="859"/>
      <c r="G64" s="859"/>
      <c r="H64" s="859"/>
      <c r="I64" s="859"/>
      <c r="J64" s="798"/>
      <c r="K64" s="797"/>
      <c r="L64" s="826"/>
      <c r="M64" s="247"/>
      <c r="N64" s="247"/>
      <c r="O64" s="247"/>
      <c r="P64" s="247"/>
      <c r="Q64" s="247"/>
      <c r="R64" s="247"/>
      <c r="S64" s="250"/>
      <c r="U64" s="826"/>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589</v>
      </c>
      <c r="C65" s="881" t="s">
        <v>437</v>
      </c>
      <c r="D65" s="882"/>
      <c r="E65" s="880" t="s">
        <v>597</v>
      </c>
      <c r="F65" s="881" t="s">
        <v>598</v>
      </c>
      <c r="G65" s="882"/>
      <c r="H65" s="881" t="s">
        <v>593</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599</v>
      </c>
      <c r="M77" s="232"/>
      <c r="N77" s="232"/>
      <c r="O77" s="232"/>
      <c r="P77" s="232"/>
      <c r="Q77" s="232"/>
      <c r="R77" s="232"/>
      <c r="S77" s="3"/>
      <c r="T77" s="813"/>
      <c r="U77" s="905" t="s">
        <v>600</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601</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826"/>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5.7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345</v>
      </c>
      <c r="P3" s="1134"/>
      <c r="Q3" s="1134"/>
      <c r="R3" s="1134"/>
      <c r="S3" s="1134"/>
      <c r="T3" s="1134"/>
      <c r="U3" s="1134"/>
      <c r="V3" s="1143" t="s">
        <v>1036</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1037</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277</v>
      </c>
      <c r="C6" s="1151">
        <f t="shared" ref="C6:N6" si="1">iferror(indirect(C3&amp;"!G8"),"")</f>
        <v>0.8718105736</v>
      </c>
      <c r="D6" s="1151">
        <f t="shared" si="1"/>
        <v>0.8882949309</v>
      </c>
      <c r="E6" s="1151">
        <f t="shared" si="1"/>
        <v>0.8811428571</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0.8804161205</v>
      </c>
      <c r="P6" s="1134"/>
      <c r="Q6" s="1134"/>
      <c r="R6" s="1134"/>
      <c r="S6" s="1134"/>
      <c r="T6" s="1134"/>
      <c r="U6" s="1134"/>
      <c r="V6" s="1143">
        <v>13.0</v>
      </c>
      <c r="W6" s="1136"/>
    </row>
    <row r="7">
      <c r="A7" s="1144"/>
      <c r="B7" s="1150" t="s">
        <v>278</v>
      </c>
      <c r="C7" s="1152">
        <f t="shared" ref="C7:N7" si="2">iferror(indirect(C3&amp;"!H8"),"")</f>
        <v>4791800</v>
      </c>
      <c r="D7" s="1152">
        <f t="shared" si="2"/>
        <v>5290320</v>
      </c>
      <c r="E7" s="1152">
        <f t="shared" si="2"/>
        <v>1753305</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11835425</v>
      </c>
      <c r="P7" s="1135"/>
      <c r="Q7" s="1134"/>
      <c r="R7" s="1134"/>
      <c r="S7" s="1134"/>
      <c r="T7" s="1134"/>
      <c r="U7" s="1134"/>
      <c r="V7" s="1143">
        <v>4.0</v>
      </c>
      <c r="W7" s="1136"/>
    </row>
    <row r="8">
      <c r="A8" s="1144"/>
      <c r="B8" s="1150" t="s">
        <v>1038</v>
      </c>
      <c r="C8" s="1153">
        <f t="shared" ref="C8:N8" si="3">iferror(indirect(C3&amp;"!AZ20"),"")</f>
        <v>853150</v>
      </c>
      <c r="D8" s="1153">
        <f t="shared" si="3"/>
        <v>758195.4545</v>
      </c>
      <c r="E8" s="1153">
        <f t="shared" si="3"/>
        <v>250681.8182</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1862027.273</v>
      </c>
      <c r="P8" s="1135"/>
      <c r="Q8" s="1134"/>
      <c r="R8" s="1134"/>
      <c r="S8" s="1134"/>
      <c r="T8" s="1134"/>
      <c r="U8" s="1134"/>
      <c r="V8" s="1143">
        <v>5.0</v>
      </c>
      <c r="W8" s="1136"/>
    </row>
    <row r="9">
      <c r="A9" s="1144"/>
      <c r="B9" s="1150" t="s">
        <v>951</v>
      </c>
      <c r="C9" s="1153">
        <f t="shared" ref="C9:N9" si="5">iferror(indirect(C3&amp;"!BG23")-indirect(C3&amp;"!BE24"),"")</f>
        <v>3065489.833</v>
      </c>
      <c r="D9" s="1153">
        <f t="shared" si="5"/>
        <v>3180262.5</v>
      </c>
      <c r="E9" s="1153">
        <f t="shared" si="5"/>
        <v>951375.8333</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7197128.167</v>
      </c>
      <c r="P9" s="1134"/>
      <c r="Q9" s="1135"/>
      <c r="R9" s="1134"/>
      <c r="S9" s="1134"/>
      <c r="T9" s="1134"/>
      <c r="U9" s="1134"/>
      <c r="V9" s="1143">
        <v>6.0</v>
      </c>
      <c r="W9" s="1136"/>
    </row>
    <row r="10">
      <c r="A10" s="1144"/>
      <c r="B10" s="1150" t="s">
        <v>1039</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279</v>
      </c>
      <c r="C11" s="1152">
        <f t="shared" ref="C11:N11" si="7">iferror(indirect(C3&amp;"!I8"),"")</f>
        <v>127312.125</v>
      </c>
      <c r="D11" s="1152">
        <f t="shared" si="7"/>
        <v>113868.0682</v>
      </c>
      <c r="E11" s="1152">
        <f t="shared" si="7"/>
        <v>37956.02273</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279136.2159</v>
      </c>
      <c r="P11" s="1134"/>
      <c r="Q11" s="1134"/>
      <c r="R11" s="1134"/>
      <c r="S11" s="1134"/>
      <c r="T11" s="1134"/>
      <c r="U11" s="1134"/>
      <c r="V11" s="1143">
        <v>8.0</v>
      </c>
      <c r="W11" s="1136"/>
    </row>
    <row r="12">
      <c r="A12" s="1144"/>
      <c r="B12" s="1150" t="s">
        <v>280</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283</v>
      </c>
      <c r="C13" s="1152">
        <f t="shared" ref="C13:N13" si="9">iferror(indirect(C3&amp;"!M8"),"")</f>
        <v>745848.0417</v>
      </c>
      <c r="D13" s="1152">
        <f t="shared" si="9"/>
        <v>1237993.977</v>
      </c>
      <c r="E13" s="1152">
        <f t="shared" si="9"/>
        <v>513291.3258</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2497133.345</v>
      </c>
      <c r="P13" s="1134"/>
      <c r="Q13" s="1134"/>
      <c r="R13" s="1134"/>
      <c r="S13" s="1134"/>
      <c r="T13" s="1134"/>
      <c r="U13" s="1134"/>
      <c r="V13" s="1143">
        <v>10.0</v>
      </c>
      <c r="W13" s="1136"/>
    </row>
    <row r="14">
      <c r="A14" s="1144"/>
      <c r="B14" s="1150" t="s">
        <v>942</v>
      </c>
      <c r="C14" s="1151">
        <f t="shared" ref="C14:N14" si="10">iferror(indirect(C3&amp;"!E8"),"")</f>
        <v>0.6397365986</v>
      </c>
      <c r="D14" s="1151">
        <f t="shared" si="10"/>
        <v>0.6011474731</v>
      </c>
      <c r="E14" s="1151">
        <f t="shared" si="10"/>
        <v>0.5426185594</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0.6233091052</v>
      </c>
      <c r="P14" s="1134"/>
      <c r="Q14" s="1134"/>
      <c r="R14" s="1134"/>
      <c r="S14" s="1134"/>
      <c r="T14" s="1134"/>
      <c r="U14" s="1134"/>
      <c r="V14" s="1143">
        <v>11.0</v>
      </c>
      <c r="W14" s="1136"/>
    </row>
    <row r="15">
      <c r="A15" s="1144"/>
      <c r="B15" s="1150" t="s">
        <v>275</v>
      </c>
      <c r="C15" s="1151">
        <f t="shared" ref="C15:N15" si="11">iferror(indirect(C3&amp;"!C8"),"")</f>
        <v>0.1556509123</v>
      </c>
      <c r="D15" s="1151">
        <f t="shared" si="11"/>
        <v>0.2340111708</v>
      </c>
      <c r="E15" s="1151">
        <f t="shared" si="11"/>
        <v>0.2927564376</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0.2109880587</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1040</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1040</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278</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1038</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951</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1039</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1041</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280</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283</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942</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275</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1042</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1043</v>
      </c>
      <c r="C3" s="1168"/>
      <c r="D3" s="1168"/>
      <c r="E3" s="1168"/>
      <c r="F3" s="1168"/>
      <c r="G3" s="616"/>
      <c r="H3" s="1169" t="s">
        <v>1044</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436</v>
      </c>
      <c r="D4" s="1172" t="s">
        <v>567</v>
      </c>
      <c r="E4" s="1173" t="s">
        <v>35</v>
      </c>
      <c r="F4" s="1172" t="s">
        <v>1045</v>
      </c>
      <c r="G4" s="1172" t="s">
        <v>1046</v>
      </c>
      <c r="H4" s="1174"/>
      <c r="I4" s="1175" t="s">
        <v>436</v>
      </c>
      <c r="J4" s="1175" t="s">
        <v>567</v>
      </c>
      <c r="K4" s="1176" t="s">
        <v>35</v>
      </c>
      <c r="L4" s="1175" t="s">
        <v>1045</v>
      </c>
      <c r="M4" s="1177" t="s">
        <v>1046</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1601</v>
      </c>
      <c r="J7" s="1184">
        <f>'🔵クレーム'!T12</f>
        <v>0</v>
      </c>
      <c r="K7" s="1185">
        <f>'🔵クレーム'!X12</f>
        <v>0</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1047</v>
      </c>
      <c r="C17" s="1204">
        <f t="shared" ref="C17:D17" si="3">SUM(C4:C16)</f>
        <v>57138</v>
      </c>
      <c r="D17" s="1204">
        <f t="shared" si="3"/>
        <v>75</v>
      </c>
      <c r="E17" s="1205">
        <f>D17/C17</f>
        <v>0.001312611572</v>
      </c>
      <c r="F17" s="1204">
        <f>SUM(F5:F16)</f>
        <v>21</v>
      </c>
      <c r="G17" s="1206">
        <f>F17/C17</f>
        <v>0.0003675312402</v>
      </c>
      <c r="H17" s="1207" t="s">
        <v>1047</v>
      </c>
      <c r="I17" s="1208">
        <f t="shared" ref="I17:J17" si="4">SUM(I5:I16)</f>
        <v>10985</v>
      </c>
      <c r="J17" s="1208">
        <f t="shared" si="4"/>
        <v>12</v>
      </c>
      <c r="K17" s="1209">
        <f>J17/I17</f>
        <v>0.001092398726</v>
      </c>
      <c r="L17" s="1208">
        <f>SUM(L5:L16)</f>
        <v>3</v>
      </c>
      <c r="M17" s="1210">
        <f>L17/I17</f>
        <v>0.0002730996814</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1026</v>
      </c>
      <c r="K33" s="17"/>
      <c r="L33" s="17"/>
    </row>
    <row r="34">
      <c r="B34" s="1230" t="s">
        <v>1048</v>
      </c>
      <c r="C34" s="1162"/>
      <c r="D34" s="1162"/>
      <c r="E34" s="1162"/>
      <c r="F34" s="1162"/>
      <c r="G34" s="1162"/>
      <c r="H34" s="1162"/>
      <c r="I34" s="1162"/>
      <c r="J34" s="1162"/>
      <c r="K34" s="1162"/>
      <c r="L34" s="1162"/>
      <c r="M34" s="1163"/>
      <c r="O34" s="1123"/>
      <c r="P34" s="1123"/>
      <c r="Q34" s="1123"/>
      <c r="S34" s="1123"/>
      <c r="T34" s="1123"/>
      <c r="U34" s="1123"/>
    </row>
    <row r="35">
      <c r="B35" s="1231" t="s">
        <v>1049</v>
      </c>
      <c r="D35" s="1232"/>
      <c r="M35" s="1233"/>
      <c r="O35" s="1123"/>
      <c r="P35" s="1123"/>
      <c r="Q35" s="1123"/>
      <c r="S35" s="1123"/>
      <c r="T35" s="1123"/>
      <c r="U35" s="1123"/>
    </row>
    <row r="36">
      <c r="B36" s="1234" t="s">
        <v>1050</v>
      </c>
      <c r="C36" s="1163"/>
      <c r="D36" s="1234" t="s">
        <v>1051</v>
      </c>
      <c r="E36" s="1163"/>
      <c r="F36" s="1234" t="s">
        <v>1052</v>
      </c>
      <c r="G36" s="1162"/>
      <c r="H36" s="1234" t="s">
        <v>1053</v>
      </c>
      <c r="I36" s="1162"/>
      <c r="J36" s="1163"/>
      <c r="K36" s="1234" t="s">
        <v>1054</v>
      </c>
      <c r="L36" s="1162"/>
      <c r="M36" s="1163"/>
      <c r="O36" s="1123" t="s">
        <v>81</v>
      </c>
      <c r="P36" s="1123" t="s">
        <v>82</v>
      </c>
      <c r="Q36" s="1123" t="s">
        <v>1055</v>
      </c>
      <c r="S36" s="1123" t="s">
        <v>89</v>
      </c>
      <c r="T36" s="1123" t="s">
        <v>90</v>
      </c>
      <c r="U36" s="1123" t="s">
        <v>92</v>
      </c>
      <c r="W36" s="1123" t="s">
        <v>81</v>
      </c>
      <c r="X36" s="1123" t="s">
        <v>82</v>
      </c>
      <c r="Y36" s="1123" t="s">
        <v>1055</v>
      </c>
      <c r="AA36" s="1123" t="s">
        <v>89</v>
      </c>
      <c r="AB36" s="1123" t="s">
        <v>90</v>
      </c>
      <c r="AC36" s="1123" t="s">
        <v>92</v>
      </c>
    </row>
    <row r="37">
      <c r="B37" s="1235"/>
      <c r="C37" s="1236"/>
      <c r="D37" s="1235"/>
      <c r="E37" s="1236"/>
      <c r="F37" s="1235"/>
      <c r="G37" s="1237"/>
      <c r="H37" s="1235"/>
      <c r="I37" s="1237"/>
      <c r="J37" s="1236"/>
      <c r="K37" s="1235"/>
      <c r="L37" s="1237"/>
      <c r="M37" s="1236"/>
      <c r="N37" s="1123" t="s">
        <v>1056</v>
      </c>
      <c r="O37" s="286" t="s">
        <v>52</v>
      </c>
      <c r="P37" s="286" t="s">
        <v>1057</v>
      </c>
      <c r="Q37" s="286" t="s">
        <v>40</v>
      </c>
      <c r="R37" s="1238"/>
      <c r="S37" s="286" t="s">
        <v>1058</v>
      </c>
      <c r="T37" s="286" t="s">
        <v>113</v>
      </c>
      <c r="U37" s="1239" t="s">
        <v>1059</v>
      </c>
      <c r="V37" s="1123" t="s">
        <v>1049</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1060</v>
      </c>
      <c r="D38" s="1242" t="s">
        <v>89</v>
      </c>
      <c r="E38" s="1242" t="s">
        <v>1060</v>
      </c>
      <c r="F38" s="1243" t="s">
        <v>1055</v>
      </c>
      <c r="G38" s="1243" t="s">
        <v>1060</v>
      </c>
      <c r="H38" s="1242" t="s">
        <v>1055</v>
      </c>
      <c r="I38" s="1244" t="s">
        <v>1060</v>
      </c>
      <c r="J38" s="1245" t="s">
        <v>1061</v>
      </c>
      <c r="K38" s="1246"/>
      <c r="L38" s="1247" t="s">
        <v>1060</v>
      </c>
      <c r="M38" s="1248" t="s">
        <v>1061</v>
      </c>
      <c r="O38" s="286" t="s">
        <v>52</v>
      </c>
      <c r="P38" s="286" t="s">
        <v>1062</v>
      </c>
      <c r="Q38" s="286" t="s">
        <v>39</v>
      </c>
      <c r="R38" s="1238"/>
      <c r="S38" s="286" t="s">
        <v>171</v>
      </c>
      <c r="T38" s="286" t="s">
        <v>1063</v>
      </c>
      <c r="U38" s="1239" t="s">
        <v>1064</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)"),"カトリ")</f>
        <v>カトリ</v>
      </c>
      <c r="C39" s="1250">
        <f>IFERROR(__xludf.DUMMYFUNCTION("""COMPUTED_VALUE"""),2.0)</f>
        <v>2</v>
      </c>
      <c r="D39" s="1251" t="str">
        <f>IFERROR(__xludf.DUMMYFUNCTION("IFERROR(
  QUERY(
    {
      IF($B$35=""R7"",$S$37:$S1038,$AA$37:$AA1038),
      IF($B$35=""R7"",$S$37:$S1038,$AA$37:$AA1038)
    },
    ""select Col1, count(Col2)
     where Col1 is not null and Col1 &lt;&gt; ''
     group by Col1
     order by count(Col2) de"&amp;"sc, Col1 asc
     label Col1 '', count(Col2) ''"",
    0
  ),
  """"
)"),"メイ")</f>
        <v>メイ</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IFERROR(__xludf.DUMMYFUNCTION("""COMPUTED_VALUE"""),6.0)</f>
        <v>6</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IFERROR(__xludf.DUMMYFUNCTION("""COMPUTED_VALUE"""),6.0)</f>
        <v>6</v>
      </c>
      <c r="J39" s="1257">
        <f t="array" ref="J39:J1038">IF(H39:H1038="","", I39:I1038 / SUM(I39:I1038))</f>
        <v>0.5</v>
      </c>
      <c r="K39" s="1258" t="s">
        <v>40</v>
      </c>
      <c r="L39" s="1259">
        <f t="shared" ref="L39:L50" si="5">AB17</f>
        <v>0</v>
      </c>
      <c r="M39" s="1260">
        <f t="shared" ref="M39:M50" si="6">iferror(L39/$L$50,"")</f>
        <v>0</v>
      </c>
      <c r="O39" s="286" t="s">
        <v>52</v>
      </c>
      <c r="P39" s="286" t="s">
        <v>1062</v>
      </c>
      <c r="Q39" s="286" t="s">
        <v>40</v>
      </c>
      <c r="R39" s="1238"/>
      <c r="S39" s="286" t="s">
        <v>171</v>
      </c>
      <c r="T39" s="286" t="s">
        <v>470</v>
      </c>
      <c r="U39" s="1239" t="s">
        <v>1065</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8" t="str">
        <f>IFERROR(__xludf.DUMMYFUNCTION("""COMPUTED_VALUE"""),"サンタ")</f>
        <v>サンタ</v>
      </c>
      <c r="C40" s="1261">
        <f>IFERROR(__xludf.DUMMYFUNCTION("""COMPUTED_VALUE"""),2.0)</f>
        <v>2</v>
      </c>
      <c r="D40" s="1262" t="str">
        <f>IFERROR(__xludf.DUMMYFUNCTION("""COMPUTED_VALUE"""),"シャキラ")</f>
        <v>シャキラ</v>
      </c>
      <c r="E40" s="1263">
        <f>IFERROR(__xludf.DUMMYFUNCTION("""COMPUTED_VALUE"""),2.0)</f>
        <v>2</v>
      </c>
      <c r="F40" s="1262" t="str">
        <f>IFERROR(__xludf.DUMMYFUNCTION("""COMPUTED_VALUE"""),"その他")</f>
        <v>その他</v>
      </c>
      <c r="G40" s="1261">
        <f>IFERROR(__xludf.DUMMYFUNCTION("""COMPUTED_VALUE"""),2.0)</f>
        <v>2</v>
      </c>
      <c r="H40" s="1264" t="str">
        <f>IFERROR(__xludf.DUMMYFUNCTION("""COMPUTED_VALUE"""),"その他")</f>
        <v>その他</v>
      </c>
      <c r="I40" s="1259">
        <f>IFERROR(__xludf.DUMMYFUNCTION("""COMPUTED_VALUE"""),2.0)</f>
        <v>2</v>
      </c>
      <c r="J40" s="1265">
        <v>0.16666666666666666</v>
      </c>
      <c r="K40" s="1258" t="s">
        <v>39</v>
      </c>
      <c r="L40" s="1259">
        <f t="shared" si="5"/>
        <v>0</v>
      </c>
      <c r="M40" s="1260">
        <f t="shared" si="6"/>
        <v>0</v>
      </c>
      <c r="O40" s="286" t="s">
        <v>52</v>
      </c>
      <c r="P40" s="286" t="s">
        <v>170</v>
      </c>
      <c r="Q40" s="286" t="s">
        <v>41</v>
      </c>
      <c r="R40" s="1238"/>
      <c r="S40" s="286" t="s">
        <v>454</v>
      </c>
      <c r="T40" s="286" t="s">
        <v>1066</v>
      </c>
      <c r="U40" s="1239" t="s">
        <v>1067</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IFERROR(__xludf.DUMMYFUNCTION("""COMPUTED_VALUE"""),2.0)</f>
        <v>2</v>
      </c>
      <c r="AH40" s="24">
        <f>IFERROR(__xludf.DUMMYFUNCTION("""COMPUTED_VALUE"""),0.16666666666666666)</f>
        <v>0.1666666667</v>
      </c>
      <c r="AK40" s="1266"/>
      <c r="AL40" s="1266"/>
      <c r="AM40" s="1267"/>
    </row>
    <row r="41">
      <c r="B41" s="1258" t="str">
        <f>IFERROR(__xludf.DUMMYFUNCTION("""COMPUTED_VALUE"""),"メイ")</f>
        <v>メイ</v>
      </c>
      <c r="C41" s="1261">
        <f>IFERROR(__xludf.DUMMYFUNCTION("""COMPUTED_VALUE"""),2.0)</f>
        <v>2</v>
      </c>
      <c r="D41" s="1262" t="str">
        <f>IFERROR(__xludf.DUMMYFUNCTION("""COMPUTED_VALUE"""),"アラム")</f>
        <v>アラム</v>
      </c>
      <c r="E41" s="1263">
        <f>IFERROR(__xludf.DUMMYFUNCTION("""COMPUTED_VALUE"""),1.0)</f>
        <v>1</v>
      </c>
      <c r="F41" s="1262" t="str">
        <f>IFERROR(__xludf.DUMMYFUNCTION("""COMPUTED_VALUE"""),"清掃不備")</f>
        <v>清掃不備</v>
      </c>
      <c r="G41" s="1261">
        <f>IFERROR(__xludf.DUMMYFUNCTION("""COMPUTED_VALUE"""),2.0)</f>
        <v>2</v>
      </c>
      <c r="H41" s="1264" t="str">
        <f>IFERROR(__xludf.DUMMYFUNCTION("""COMPUTED_VALUE"""),"清掃不備")</f>
        <v>清掃不備</v>
      </c>
      <c r="I41" s="1259">
        <f>IFERROR(__xludf.DUMMYFUNCTION("""COMPUTED_VALUE"""),2.0)</f>
        <v>2</v>
      </c>
      <c r="J41" s="1265">
        <v>0.16666666666666666</v>
      </c>
      <c r="K41" s="1258" t="s">
        <v>38</v>
      </c>
      <c r="L41" s="1259">
        <f t="shared" si="5"/>
        <v>0</v>
      </c>
      <c r="M41" s="1260">
        <f t="shared" si="6"/>
        <v>0</v>
      </c>
      <c r="O41" s="286" t="s">
        <v>52</v>
      </c>
      <c r="P41" s="286" t="s">
        <v>1068</v>
      </c>
      <c r="Q41" s="286" t="s">
        <v>40</v>
      </c>
      <c r="R41" s="1238"/>
      <c r="S41" s="286" t="s">
        <v>1058</v>
      </c>
      <c r="T41" s="286" t="s">
        <v>1069</v>
      </c>
      <c r="U41" s="1239" t="s">
        <v>1070</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24">
        <f>IFERROR(__xludf.DUMMYFUNCTION("""COMPUTED_VALUE"""),0.16666666666666666)</f>
        <v>0.1666666667</v>
      </c>
      <c r="AK41" s="1266"/>
      <c r="AL41" s="1266"/>
      <c r="AM41" s="1267"/>
    </row>
    <row r="42">
      <c r="B42" s="1258" t="str">
        <f>IFERROR(__xludf.DUMMYFUNCTION("""COMPUTED_VALUE"""),"ギミレ")</f>
        <v>ギミレ</v>
      </c>
      <c r="C42" s="1261">
        <f>IFERROR(__xludf.DUMMYFUNCTION("""COMPUTED_VALUE"""),1.0)</f>
        <v>1</v>
      </c>
      <c r="D42" s="1262" t="str">
        <f>IFERROR(__xludf.DUMMYFUNCTION("""COMPUTED_VALUE"""),"佐藤")</f>
        <v>佐藤</v>
      </c>
      <c r="E42" s="1263">
        <f>IFERROR(__xludf.DUMMYFUNCTION("""COMPUTED_VALUE"""),1.0)</f>
        <v>1</v>
      </c>
      <c r="F42" s="1262" t="str">
        <f>IFERROR(__xludf.DUMMYFUNCTION("""COMPUTED_VALUE"""),"残置")</f>
        <v>残置</v>
      </c>
      <c r="G42" s="1261">
        <f>IFERROR(__xludf.DUMMYFUNCTION("""COMPUTED_VALUE"""),1.0)</f>
        <v>1</v>
      </c>
      <c r="H42" s="1264" t="str">
        <f>IFERROR(__xludf.DUMMYFUNCTION("""COMPUTED_VALUE"""),"残置")</f>
        <v>残置</v>
      </c>
      <c r="I42" s="1259">
        <f>IFERROR(__xludf.DUMMYFUNCTION("""COMPUTED_VALUE"""),1.0)</f>
        <v>1</v>
      </c>
      <c r="J42" s="1265">
        <v>0.08333333333333333</v>
      </c>
      <c r="K42" s="1258" t="s">
        <v>41</v>
      </c>
      <c r="L42" s="1259">
        <f t="shared" si="5"/>
        <v>1</v>
      </c>
      <c r="M42" s="1260">
        <f t="shared" si="6"/>
        <v>0.3333333333</v>
      </c>
      <c r="O42" s="286" t="s">
        <v>54</v>
      </c>
      <c r="P42" s="286" t="s">
        <v>1071</v>
      </c>
      <c r="Q42" s="286" t="s">
        <v>42</v>
      </c>
      <c r="R42" s="1238"/>
      <c r="S42" s="286" t="s">
        <v>1072</v>
      </c>
      <c r="T42" s="286" t="s">
        <v>135</v>
      </c>
      <c r="U42" s="1239" t="s">
        <v>1073</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24">
        <f>IFERROR(__xludf.DUMMYFUNCTION("""COMPUTED_VALUE"""),0.08333333333333333)</f>
        <v>0.08333333333</v>
      </c>
      <c r="AK42" s="1266"/>
      <c r="AL42" s="1266"/>
      <c r="AM42" s="1267"/>
    </row>
    <row r="43">
      <c r="B43" s="1258" t="str">
        <f>IFERROR(__xludf.DUMMYFUNCTION("""COMPUTED_VALUE"""),"ビケス")</f>
        <v>ビケス</v>
      </c>
      <c r="C43" s="1261">
        <f>IFERROR(__xludf.DUMMYFUNCTION("""COMPUTED_VALUE"""),1.0)</f>
        <v>1</v>
      </c>
      <c r="D43" s="1262" t="str">
        <f>IFERROR(__xludf.DUMMYFUNCTION("""COMPUTED_VALUE"""),"宇佐美")</f>
        <v>宇佐美</v>
      </c>
      <c r="E43" s="1263">
        <f>IFERROR(__xludf.DUMMYFUNCTION("""COMPUTED_VALUE"""),1.0)</f>
        <v>1</v>
      </c>
      <c r="F43" s="1262" t="str">
        <f>IFERROR(__xludf.DUMMYFUNCTION("""COMPUTED_VALUE"""),"髪の毛")</f>
        <v>髪の毛</v>
      </c>
      <c r="G43" s="1261">
        <f>IFERROR(__xludf.DUMMYFUNCTION("""COMPUTED_VALUE"""),1.0)</f>
        <v>1</v>
      </c>
      <c r="H43" s="1264" t="str">
        <f>IFERROR(__xludf.DUMMYFUNCTION("""COMPUTED_VALUE"""),"髪の毛")</f>
        <v>髪の毛</v>
      </c>
      <c r="I43" s="1259">
        <f>IFERROR(__xludf.DUMMYFUNCTION("""COMPUTED_VALUE"""),1.0)</f>
        <v>1</v>
      </c>
      <c r="J43" s="1265">
        <v>0.08333333333333333</v>
      </c>
      <c r="K43" s="1258" t="s">
        <v>43</v>
      </c>
      <c r="L43" s="1259">
        <f t="shared" si="5"/>
        <v>0</v>
      </c>
      <c r="M43" s="1260">
        <f t="shared" si="6"/>
        <v>0</v>
      </c>
      <c r="O43" s="286" t="s">
        <v>54</v>
      </c>
      <c r="P43" s="286" t="s">
        <v>1074</v>
      </c>
      <c r="Q43" s="286" t="s">
        <v>30</v>
      </c>
      <c r="R43" s="1238"/>
      <c r="S43" s="286" t="s">
        <v>453</v>
      </c>
      <c r="T43" s="286" t="s">
        <v>470</v>
      </c>
      <c r="U43" s="1239" t="s">
        <v>1075</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24">
        <f>IFERROR(__xludf.DUMMYFUNCTION("""COMPUTED_VALUE"""),0.08333333333333333)</f>
        <v>0.08333333333</v>
      </c>
      <c r="AK43" s="1266"/>
      <c r="AL43" s="1266"/>
      <c r="AM43" s="1267"/>
    </row>
    <row r="44">
      <c r="B44" s="1258" t="str">
        <f>IFERROR(__xludf.DUMMYFUNCTION("""COMPUTED_VALUE"""),"ランジュ")</f>
        <v>ランジュ</v>
      </c>
      <c r="C44" s="1261">
        <f>IFERROR(__xludf.DUMMYFUNCTION("""COMPUTED_VALUE"""),1.0)</f>
        <v>1</v>
      </c>
      <c r="D44" s="1262" t="str">
        <f>IFERROR(__xludf.DUMMYFUNCTION("""COMPUTED_VALUE"""),"福永")</f>
        <v>福永</v>
      </c>
      <c r="E44" s="1263">
        <f>IFERROR(__xludf.DUMMYFUNCTION("""COMPUTED_VALUE"""),1.0)</f>
        <v>1</v>
      </c>
      <c r="F44" s="1262"/>
      <c r="G44" s="1261"/>
      <c r="H44" s="1264"/>
      <c r="I44" s="1259"/>
      <c r="J44" s="1265" t="s">
        <v>1026</v>
      </c>
      <c r="K44" s="1258" t="s">
        <v>42</v>
      </c>
      <c r="L44" s="1259">
        <f t="shared" si="5"/>
        <v>0</v>
      </c>
      <c r="M44" s="1260">
        <f t="shared" si="6"/>
        <v>0</v>
      </c>
      <c r="O44" s="286" t="s">
        <v>54</v>
      </c>
      <c r="P44" s="286" t="s">
        <v>1057</v>
      </c>
      <c r="Q44" s="286" t="s">
        <v>39</v>
      </c>
      <c r="R44" s="1238"/>
      <c r="S44" s="286" t="s">
        <v>454</v>
      </c>
      <c r="T44" s="286" t="s">
        <v>1076</v>
      </c>
      <c r="U44" s="1239" t="s">
        <v>1077</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IFERROR(__xludf.DUMMYFUNCTION("""COMPUTED_VALUE"""),"シャキラ")</f>
        <v>シャキラ</v>
      </c>
      <c r="AK44" s="1266"/>
      <c r="AL44" s="1266"/>
      <c r="AM44" s="1267"/>
    </row>
    <row r="45">
      <c r="B45" s="1258" t="str">
        <f>IFERROR(__xludf.DUMMYFUNCTION("""COMPUTED_VALUE"""),"ー")</f>
        <v>ー</v>
      </c>
      <c r="C45" s="1261">
        <f>IFERROR(__xludf.DUMMYFUNCTION("""COMPUTED_VALUE"""),1.0)</f>
        <v>1</v>
      </c>
      <c r="D45" s="1262"/>
      <c r="E45" s="1263"/>
      <c r="F45" s="1262"/>
      <c r="G45" s="1261"/>
      <c r="H45" s="1264"/>
      <c r="I45" s="1259"/>
      <c r="J45" s="1265" t="s">
        <v>1026</v>
      </c>
      <c r="K45" s="1258" t="s">
        <v>1078</v>
      </c>
      <c r="L45" s="1259">
        <f t="shared" si="5"/>
        <v>1</v>
      </c>
      <c r="M45" s="1260">
        <f t="shared" si="6"/>
        <v>0.3333333333</v>
      </c>
      <c r="O45" s="286" t="s">
        <v>54</v>
      </c>
      <c r="P45" s="286" t="s">
        <v>1057</v>
      </c>
      <c r="Q45" s="286" t="s">
        <v>40</v>
      </c>
      <c r="R45" s="1238"/>
      <c r="S45" s="286" t="s">
        <v>454</v>
      </c>
      <c r="T45" s="286" t="s">
        <v>1079</v>
      </c>
      <c r="U45" s="1239" t="s">
        <v>1080</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IFERROR(__xludf.DUMMYFUNCTION("""COMPUTED_VALUE"""),"ビケス")</f>
        <v>ビケス</v>
      </c>
      <c r="AK45" s="1266"/>
      <c r="AL45" s="1266"/>
      <c r="AM45" s="1267"/>
    </row>
    <row r="46">
      <c r="B46" s="1258" t="str">
        <f>IFERROR(__xludf.DUMMYFUNCTION("""COMPUTED_VALUE"""),"－")</f>
        <v>－</v>
      </c>
      <c r="C46" s="1261">
        <f>IFERROR(__xludf.DUMMYFUNCTION("""COMPUTED_VALUE"""),1.0)</f>
        <v>1</v>
      </c>
      <c r="D46" s="1262"/>
      <c r="E46" s="1263"/>
      <c r="F46" s="1262"/>
      <c r="G46" s="1261"/>
      <c r="H46" s="1264"/>
      <c r="I46" s="1259"/>
      <c r="J46" s="1265" t="s">
        <v>1026</v>
      </c>
      <c r="K46" s="1258" t="s">
        <v>1081</v>
      </c>
      <c r="L46" s="1259">
        <f t="shared" si="5"/>
        <v>1</v>
      </c>
      <c r="M46" s="1260">
        <f t="shared" si="6"/>
        <v>0.3333333333</v>
      </c>
      <c r="O46" s="286" t="s">
        <v>54</v>
      </c>
      <c r="P46" s="286" t="s">
        <v>1057</v>
      </c>
      <c r="Q46" s="286" t="s">
        <v>40</v>
      </c>
      <c r="R46" s="1238"/>
      <c r="S46" s="286" t="s">
        <v>1072</v>
      </c>
      <c r="T46" s="286" t="s">
        <v>1082</v>
      </c>
      <c r="U46" s="1239" t="s">
        <v>1083</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IFERROR(__xludf.DUMMYFUNCTION("""COMPUTED_VALUE"""),"メイ")</f>
        <v>メイ</v>
      </c>
      <c r="AK46" s="1266"/>
      <c r="AL46" s="1266"/>
      <c r="AM46" s="1267"/>
    </row>
    <row r="47">
      <c r="B47" s="1258"/>
      <c r="C47" s="1261"/>
      <c r="D47" s="1262"/>
      <c r="E47" s="1263"/>
      <c r="F47" s="1268"/>
      <c r="G47" s="1269"/>
      <c r="H47" s="1264"/>
      <c r="I47" s="1259"/>
      <c r="J47" s="1265" t="s">
        <v>1026</v>
      </c>
      <c r="K47" s="1258" t="s">
        <v>1084</v>
      </c>
      <c r="L47" s="1259">
        <f t="shared" si="5"/>
        <v>0</v>
      </c>
      <c r="M47" s="1260">
        <f t="shared" si="6"/>
        <v>0</v>
      </c>
      <c r="O47" s="286" t="s">
        <v>54</v>
      </c>
      <c r="P47" s="286" t="s">
        <v>1057</v>
      </c>
      <c r="Q47" s="286" t="s">
        <v>39</v>
      </c>
      <c r="R47" s="1238"/>
      <c r="S47" s="286" t="s">
        <v>1072</v>
      </c>
      <c r="T47" s="286" t="s">
        <v>1082</v>
      </c>
      <c r="U47" s="1239" t="s">
        <v>1085</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IFERROR(__xludf.DUMMYFUNCTION("""COMPUTED_VALUE"""),"ランジュ")</f>
        <v>ランジュ</v>
      </c>
      <c r="AK47" s="1266"/>
      <c r="AL47" s="1266"/>
      <c r="AM47" s="1267"/>
    </row>
    <row r="48">
      <c r="B48" s="1258"/>
      <c r="C48" s="1261"/>
      <c r="D48" s="1262"/>
      <c r="E48" s="1263"/>
      <c r="F48" s="1268"/>
      <c r="G48" s="1269"/>
      <c r="H48" s="1264"/>
      <c r="I48" s="1259"/>
      <c r="J48" s="1265" t="s">
        <v>1026</v>
      </c>
      <c r="K48" s="1258" t="s">
        <v>1086</v>
      </c>
      <c r="L48" s="1259">
        <f t="shared" si="5"/>
        <v>0</v>
      </c>
      <c r="M48" s="1260">
        <f t="shared" si="6"/>
        <v>0</v>
      </c>
      <c r="O48" s="286" t="s">
        <v>54</v>
      </c>
      <c r="P48" s="286" t="s">
        <v>176</v>
      </c>
      <c r="Q48" s="286" t="s">
        <v>42</v>
      </c>
      <c r="R48" s="1238"/>
      <c r="S48" s="286" t="s">
        <v>171</v>
      </c>
      <c r="T48" s="286" t="s">
        <v>1087</v>
      </c>
      <c r="U48" s="1239" t="s">
        <v>1088</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IFERROR(__xludf.DUMMYFUNCTION("""COMPUTED_VALUE"""),"宇佐美")</f>
        <v>宇佐美</v>
      </c>
      <c r="AK48" s="1266"/>
      <c r="AL48" s="1266"/>
      <c r="AM48" s="1267"/>
    </row>
    <row r="49">
      <c r="B49" s="1258"/>
      <c r="C49" s="1261"/>
      <c r="D49" s="1262"/>
      <c r="E49" s="1263"/>
      <c r="F49" s="1268"/>
      <c r="G49" s="1269"/>
      <c r="H49" s="1264"/>
      <c r="I49" s="1259"/>
      <c r="J49" s="1265" t="s">
        <v>1026</v>
      </c>
      <c r="K49" s="1258" t="s">
        <v>30</v>
      </c>
      <c r="L49" s="1259">
        <f t="shared" si="5"/>
        <v>0</v>
      </c>
      <c r="M49" s="1260">
        <f t="shared" si="6"/>
        <v>0</v>
      </c>
      <c r="O49" s="286" t="s">
        <v>54</v>
      </c>
      <c r="P49" s="286" t="s">
        <v>140</v>
      </c>
      <c r="Q49" s="286" t="s">
        <v>42</v>
      </c>
      <c r="R49" s="1238"/>
      <c r="S49" s="286" t="s">
        <v>1089</v>
      </c>
      <c r="T49" s="286" t="s">
        <v>103</v>
      </c>
      <c r="U49" s="1239" t="s">
        <v>1090</v>
      </c>
      <c r="W49" s="1238" t="str">
        <f>'🔵クレーム'!C40</f>
        <v/>
      </c>
      <c r="X49" s="1238" t="str">
        <f>'🔵クレーム'!D40</f>
        <v/>
      </c>
      <c r="Y49" s="286" t="str">
        <f>'🔵クレーム'!I40</f>
        <v/>
      </c>
      <c r="Z49" s="1238" t="str">
        <f>'🔵クレーム'!J40</f>
        <v/>
      </c>
      <c r="AA49" s="1238" t="str">
        <f>'🔵クレーム'!K40</f>
        <v/>
      </c>
      <c r="AB49" s="1238" t="str">
        <f>'🔵クレーム'!L40</f>
        <v/>
      </c>
      <c r="AC49" s="1240" t="str">
        <f>'🔵クレーム'!N40</f>
        <v/>
      </c>
      <c r="AE49" s="24" t="str">
        <f>IFERROR(__xludf.DUMMYFUNCTION("""COMPUTED_VALUE"""),"佐藤")</f>
        <v>佐藤</v>
      </c>
      <c r="AK49" s="1266"/>
      <c r="AL49" s="1266"/>
      <c r="AM49" s="1267"/>
    </row>
    <row r="50" collapsed="1">
      <c r="B50" s="1258"/>
      <c r="C50" s="1261"/>
      <c r="D50" s="1262"/>
      <c r="E50" s="1263"/>
      <c r="F50" s="1268"/>
      <c r="G50" s="1269"/>
      <c r="H50" s="1264"/>
      <c r="I50" s="1259"/>
      <c r="J50" s="1265" t="s">
        <v>1026</v>
      </c>
      <c r="K50" s="1270" t="s">
        <v>345</v>
      </c>
      <c r="L50" s="1271">
        <f t="shared" si="5"/>
        <v>3</v>
      </c>
      <c r="M50" s="1272">
        <f t="shared" si="6"/>
        <v>1</v>
      </c>
      <c r="O50" s="286" t="s">
        <v>54</v>
      </c>
      <c r="P50" s="286" t="s">
        <v>1091</v>
      </c>
      <c r="Q50" s="286" t="s">
        <v>30</v>
      </c>
      <c r="R50" s="1238"/>
      <c r="S50" s="286" t="s">
        <v>103</v>
      </c>
      <c r="T50" s="286" t="s">
        <v>472</v>
      </c>
      <c r="U50" s="1239" t="s">
        <v>1092</v>
      </c>
      <c r="W50" s="1238" t="str">
        <f>'🔵クレーム'!C41</f>
        <v/>
      </c>
      <c r="X50" s="1238" t="str">
        <f>'🔵クレーム'!D41</f>
        <v/>
      </c>
      <c r="Y50" s="286" t="str">
        <f>'🔵クレーム'!I41</f>
        <v/>
      </c>
      <c r="Z50" s="1238" t="str">
        <f>'🔵クレーム'!J41</f>
        <v/>
      </c>
      <c r="AA50" s="1238" t="str">
        <f>'🔵クレーム'!K41</f>
        <v/>
      </c>
      <c r="AB50" s="1238" t="str">
        <f>'🔵クレーム'!L41</f>
        <v/>
      </c>
      <c r="AC50" s="1240" t="str">
        <f>'🔵クレーム'!N41</f>
        <v/>
      </c>
      <c r="AE50" s="24" t="str">
        <f>IFERROR(__xludf.DUMMYFUNCTION("""COMPUTED_VALUE"""),"福永")</f>
        <v>福永</v>
      </c>
      <c r="AK50" s="1266"/>
      <c r="AL50" s="1266"/>
      <c r="AM50" s="1267"/>
    </row>
    <row r="51" hidden="1" outlineLevel="1">
      <c r="B51" s="1258"/>
      <c r="C51" s="1261"/>
      <c r="D51" s="1262"/>
      <c r="E51" s="1263"/>
      <c r="F51" s="1268"/>
      <c r="G51" s="1269"/>
      <c r="H51" s="1264"/>
      <c r="I51" s="1259"/>
      <c r="J51" s="1273" t="s">
        <v>1026</v>
      </c>
      <c r="K51" s="1232"/>
      <c r="O51" s="286" t="s">
        <v>54</v>
      </c>
      <c r="P51" s="286" t="s">
        <v>1091</v>
      </c>
      <c r="Q51" s="286" t="s">
        <v>42</v>
      </c>
      <c r="R51" s="1238"/>
      <c r="S51" s="286" t="s">
        <v>1089</v>
      </c>
      <c r="T51" s="286" t="s">
        <v>1076</v>
      </c>
      <c r="U51" s="1239" t="s">
        <v>1093</v>
      </c>
      <c r="W51" s="1238" t="str">
        <f>'🔵クレーム'!C42</f>
        <v/>
      </c>
      <c r="X51" s="1238" t="str">
        <f>'🔵クレーム'!D42</f>
        <v/>
      </c>
      <c r="Y51" s="286" t="str">
        <f>'🔵クレーム'!I42</f>
        <v/>
      </c>
      <c r="Z51" s="1238" t="str">
        <f>'🔵クレーム'!J42</f>
        <v/>
      </c>
      <c r="AA51" s="1238" t="str">
        <f>'🔵クレーム'!K42</f>
        <v/>
      </c>
      <c r="AB51" s="1238" t="str">
        <f>'🔵クレーム'!L42</f>
        <v/>
      </c>
      <c r="AC51" s="1240" t="str">
        <f>'🔵クレーム'!N42</f>
        <v/>
      </c>
      <c r="AK51" s="1266"/>
      <c r="AL51" s="1266"/>
      <c r="AM51" s="1267"/>
    </row>
    <row r="52" hidden="1" outlineLevel="1">
      <c r="B52" s="1258"/>
      <c r="C52" s="1261"/>
      <c r="D52" s="1262"/>
      <c r="E52" s="1263"/>
      <c r="F52" s="1268"/>
      <c r="G52" s="1269"/>
      <c r="H52" s="1264"/>
      <c r="I52" s="1259"/>
      <c r="J52" s="1273" t="s">
        <v>1026</v>
      </c>
      <c r="O52" s="286" t="s">
        <v>54</v>
      </c>
      <c r="P52" s="286" t="s">
        <v>1094</v>
      </c>
      <c r="Q52" s="286" t="s">
        <v>43</v>
      </c>
      <c r="R52" s="1238"/>
      <c r="S52" s="286" t="s">
        <v>454</v>
      </c>
      <c r="T52" s="286" t="s">
        <v>1095</v>
      </c>
      <c r="U52" s="1239" t="s">
        <v>1096</v>
      </c>
      <c r="W52" s="1238" t="str">
        <f>'🔵クレーム'!C43</f>
        <v/>
      </c>
      <c r="X52" s="1238" t="str">
        <f>'🔵クレーム'!D43</f>
        <v/>
      </c>
      <c r="Y52" s="286" t="str">
        <f>'🔵クレーム'!I43</f>
        <v/>
      </c>
      <c r="Z52" s="1238" t="str">
        <f>'🔵クレーム'!J43</f>
        <v/>
      </c>
      <c r="AA52" s="1238" t="str">
        <f>'🔵クレーム'!K43</f>
        <v/>
      </c>
      <c r="AB52" s="1238" t="str">
        <f>'🔵クレーム'!L43</f>
        <v/>
      </c>
      <c r="AC52" s="1240" t="str">
        <f>'🔵クレーム'!N43</f>
        <v/>
      </c>
      <c r="AK52" s="1266"/>
    </row>
    <row r="53" hidden="1" outlineLevel="1">
      <c r="B53" s="1258"/>
      <c r="C53" s="1261"/>
      <c r="D53" s="1262"/>
      <c r="E53" s="1263"/>
      <c r="F53" s="1268"/>
      <c r="G53" s="1269"/>
      <c r="H53" s="1264"/>
      <c r="I53" s="1259"/>
      <c r="J53" s="1273" t="s">
        <v>1026</v>
      </c>
      <c r="O53" s="286" t="s">
        <v>34</v>
      </c>
      <c r="P53" s="286" t="s">
        <v>1097</v>
      </c>
      <c r="Q53" s="286" t="s">
        <v>40</v>
      </c>
      <c r="R53" s="1238"/>
      <c r="S53" s="286" t="s">
        <v>1058</v>
      </c>
      <c r="T53" s="286" t="s">
        <v>472</v>
      </c>
      <c r="U53" s="1239" t="s">
        <v>1098</v>
      </c>
      <c r="W53" s="1238" t="str">
        <f>'🔵クレーム'!C44</f>
        <v/>
      </c>
      <c r="X53" s="1238" t="str">
        <f>'🔵クレーム'!D44</f>
        <v/>
      </c>
      <c r="Y53" s="286" t="str">
        <f>'🔵クレーム'!I44</f>
        <v/>
      </c>
      <c r="Z53" s="1238" t="str">
        <f>'🔵クレーム'!J44</f>
        <v/>
      </c>
      <c r="AA53" s="1238" t="str">
        <f>'🔵クレーム'!K44</f>
        <v/>
      </c>
      <c r="AB53" s="1238" t="str">
        <f>'🔵クレーム'!L44</f>
        <v/>
      </c>
      <c r="AC53" s="1240" t="str">
        <f>'🔵クレーム'!N44</f>
        <v/>
      </c>
    </row>
    <row r="54" hidden="1" outlineLevel="1">
      <c r="B54" s="1258"/>
      <c r="C54" s="1261"/>
      <c r="D54" s="1262"/>
      <c r="E54" s="1263"/>
      <c r="F54" s="1268"/>
      <c r="G54" s="1269"/>
      <c r="H54" s="1264"/>
      <c r="I54" s="1259"/>
      <c r="J54" s="1273" t="s">
        <v>1026</v>
      </c>
      <c r="O54" s="286" t="s">
        <v>34</v>
      </c>
      <c r="P54" s="286" t="s">
        <v>1062</v>
      </c>
      <c r="Q54" s="286" t="s">
        <v>42</v>
      </c>
      <c r="R54" s="1238"/>
      <c r="S54" s="286" t="s">
        <v>1089</v>
      </c>
      <c r="T54" s="286" t="s">
        <v>1095</v>
      </c>
      <c r="U54" s="1239" t="s">
        <v>1099</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row>
    <row r="55" hidden="1" outlineLevel="1">
      <c r="B55" s="1258"/>
      <c r="C55" s="1261"/>
      <c r="D55" s="1268"/>
      <c r="E55" s="1274"/>
      <c r="F55" s="1268"/>
      <c r="G55" s="1269"/>
      <c r="H55" s="1264"/>
      <c r="I55" s="1259"/>
      <c r="J55" s="1273" t="s">
        <v>1026</v>
      </c>
      <c r="O55" s="286" t="s">
        <v>57</v>
      </c>
      <c r="P55" s="286" t="s">
        <v>1074</v>
      </c>
      <c r="Q55" s="286" t="s">
        <v>39</v>
      </c>
      <c r="R55" s="1238"/>
      <c r="S55" s="286" t="s">
        <v>454</v>
      </c>
      <c r="T55" s="286" t="s">
        <v>1100</v>
      </c>
      <c r="U55" s="1239" t="s">
        <v>1101</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row>
    <row r="56" hidden="1" outlineLevel="1">
      <c r="B56" s="1258"/>
      <c r="C56" s="1261"/>
      <c r="D56" s="1268"/>
      <c r="E56" s="1274"/>
      <c r="F56" s="1268"/>
      <c r="G56" s="1269"/>
      <c r="H56" s="1264"/>
      <c r="I56" s="1259"/>
      <c r="J56" s="1273" t="s">
        <v>1026</v>
      </c>
      <c r="O56" s="286" t="s">
        <v>57</v>
      </c>
      <c r="P56" s="286" t="s">
        <v>1074</v>
      </c>
      <c r="Q56" s="286" t="s">
        <v>38</v>
      </c>
      <c r="R56" s="1238"/>
      <c r="S56" s="286" t="s">
        <v>1089</v>
      </c>
      <c r="T56" s="286" t="s">
        <v>776</v>
      </c>
      <c r="U56" s="1239" t="s">
        <v>1102</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row>
    <row r="57" hidden="1" outlineLevel="1">
      <c r="B57" s="1258"/>
      <c r="C57" s="1261"/>
      <c r="D57" s="1268"/>
      <c r="E57" s="1274"/>
      <c r="F57" s="1268"/>
      <c r="G57" s="1269"/>
      <c r="H57" s="1264"/>
      <c r="I57" s="1259"/>
      <c r="J57" s="1273" t="s">
        <v>1026</v>
      </c>
      <c r="O57" s="286" t="s">
        <v>57</v>
      </c>
      <c r="P57" s="286" t="s">
        <v>151</v>
      </c>
      <c r="Q57" s="286" t="s">
        <v>43</v>
      </c>
      <c r="R57" s="1238"/>
      <c r="S57" s="286" t="s">
        <v>1072</v>
      </c>
      <c r="T57" s="286" t="s">
        <v>776</v>
      </c>
      <c r="U57" s="1239" t="s">
        <v>1103</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row>
    <row r="58" hidden="1" outlineLevel="1">
      <c r="B58" s="1258"/>
      <c r="C58" s="1261"/>
      <c r="D58" s="1268"/>
      <c r="E58" s="1274"/>
      <c r="F58" s="1268"/>
      <c r="G58" s="1269"/>
      <c r="H58" s="1264"/>
      <c r="I58" s="1259"/>
      <c r="J58" s="1273" t="s">
        <v>1026</v>
      </c>
      <c r="O58" s="286" t="s">
        <v>57</v>
      </c>
      <c r="P58" s="286" t="s">
        <v>170</v>
      </c>
      <c r="Q58" s="286" t="s">
        <v>40</v>
      </c>
      <c r="R58" s="1238"/>
      <c r="S58" s="286" t="s">
        <v>1058</v>
      </c>
      <c r="T58" s="286" t="s">
        <v>1104</v>
      </c>
      <c r="U58" s="1239" t="s">
        <v>1105</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row>
    <row r="59" hidden="1" outlineLevel="1">
      <c r="B59" s="1258"/>
      <c r="C59" s="1261"/>
      <c r="D59" s="1268"/>
      <c r="E59" s="1274"/>
      <c r="F59" s="1268"/>
      <c r="G59" s="1269"/>
      <c r="H59" s="1264"/>
      <c r="I59" s="1259"/>
      <c r="J59" s="1273" t="s">
        <v>1026</v>
      </c>
      <c r="O59" s="286" t="s">
        <v>59</v>
      </c>
      <c r="P59" s="286" t="s">
        <v>1062</v>
      </c>
      <c r="Q59" s="286" t="s">
        <v>42</v>
      </c>
      <c r="R59" s="1238"/>
      <c r="S59" s="286" t="s">
        <v>525</v>
      </c>
      <c r="T59" s="286" t="s">
        <v>103</v>
      </c>
      <c r="U59" s="1239" t="s">
        <v>1106</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row>
    <row r="60" hidden="1" outlineLevel="1">
      <c r="B60" s="1258"/>
      <c r="C60" s="1261"/>
      <c r="D60" s="1268"/>
      <c r="E60" s="1274"/>
      <c r="F60" s="1268"/>
      <c r="G60" s="1269"/>
      <c r="H60" s="1264"/>
      <c r="I60" s="1259"/>
      <c r="J60" s="1273" t="s">
        <v>1026</v>
      </c>
      <c r="O60" s="286" t="s">
        <v>59</v>
      </c>
      <c r="P60" s="286" t="s">
        <v>1062</v>
      </c>
      <c r="Q60" s="286" t="s">
        <v>43</v>
      </c>
      <c r="R60" s="1238"/>
      <c r="S60" s="286" t="s">
        <v>103</v>
      </c>
      <c r="T60" s="286" t="s">
        <v>482</v>
      </c>
      <c r="U60" s="1239" t="s">
        <v>1107</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row>
    <row r="61" hidden="1" outlineLevel="1">
      <c r="B61" s="1258"/>
      <c r="C61" s="1261"/>
      <c r="D61" s="1268"/>
      <c r="E61" s="1274"/>
      <c r="F61" s="1268"/>
      <c r="G61" s="1269"/>
      <c r="H61" s="1264"/>
      <c r="I61" s="1259"/>
      <c r="J61" s="1273" t="s">
        <v>1026</v>
      </c>
      <c r="O61" s="286" t="s">
        <v>59</v>
      </c>
      <c r="P61" s="286" t="s">
        <v>1108</v>
      </c>
      <c r="Q61" s="286" t="s">
        <v>42</v>
      </c>
      <c r="R61" s="1238"/>
      <c r="S61" s="286" t="s">
        <v>1058</v>
      </c>
      <c r="T61" s="286" t="s">
        <v>103</v>
      </c>
      <c r="U61" s="1239" t="s">
        <v>1109</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row>
    <row r="62" hidden="1" outlineLevel="1">
      <c r="B62" s="1258"/>
      <c r="C62" s="1261"/>
      <c r="D62" s="1268"/>
      <c r="E62" s="1274"/>
      <c r="F62" s="1268"/>
      <c r="G62" s="1269"/>
      <c r="H62" s="1264"/>
      <c r="I62" s="1259"/>
      <c r="J62" s="1273" t="s">
        <v>1026</v>
      </c>
      <c r="O62" s="286" t="s">
        <v>59</v>
      </c>
      <c r="P62" s="286" t="s">
        <v>1110</v>
      </c>
      <c r="Q62" s="286" t="s">
        <v>43</v>
      </c>
      <c r="R62" s="1238"/>
      <c r="S62" s="286" t="s">
        <v>1111</v>
      </c>
      <c r="T62" s="286" t="s">
        <v>637</v>
      </c>
      <c r="U62" s="1239" t="s">
        <v>1112</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row>
    <row r="63" hidden="1" outlineLevel="1">
      <c r="B63" s="1258"/>
      <c r="C63" s="1261"/>
      <c r="D63" s="1268"/>
      <c r="E63" s="1274"/>
      <c r="F63" s="1268"/>
      <c r="G63" s="1269"/>
      <c r="H63" s="1264"/>
      <c r="I63" s="1259"/>
      <c r="J63" s="1273" t="s">
        <v>1026</v>
      </c>
      <c r="O63" s="286" t="s">
        <v>59</v>
      </c>
      <c r="P63" s="286" t="s">
        <v>1113</v>
      </c>
      <c r="Q63" s="286" t="s">
        <v>40</v>
      </c>
      <c r="R63" s="1238"/>
      <c r="S63" s="286" t="s">
        <v>1111</v>
      </c>
      <c r="T63" s="286" t="s">
        <v>637</v>
      </c>
      <c r="U63" s="1239" t="s">
        <v>1114</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row>
    <row r="64" hidden="1" outlineLevel="1">
      <c r="B64" s="1258"/>
      <c r="C64" s="1261"/>
      <c r="D64" s="1268"/>
      <c r="E64" s="1274"/>
      <c r="F64" s="1268"/>
      <c r="G64" s="1269"/>
      <c r="H64" s="1264"/>
      <c r="I64" s="1259"/>
      <c r="J64" s="1273" t="s">
        <v>1026</v>
      </c>
      <c r="O64" s="286" t="s">
        <v>59</v>
      </c>
      <c r="P64" s="286" t="s">
        <v>1113</v>
      </c>
      <c r="Q64" s="286" t="s">
        <v>39</v>
      </c>
      <c r="R64" s="1238"/>
      <c r="S64" s="286" t="s">
        <v>171</v>
      </c>
      <c r="T64" s="286" t="s">
        <v>773</v>
      </c>
      <c r="U64" s="1239" t="s">
        <v>1115</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row>
    <row r="65" hidden="1" outlineLevel="1">
      <c r="B65" s="1258"/>
      <c r="C65" s="1261"/>
      <c r="D65" s="1268"/>
      <c r="E65" s="1274"/>
      <c r="F65" s="1268"/>
      <c r="G65" s="1269"/>
      <c r="H65" s="1264"/>
      <c r="I65" s="1259"/>
      <c r="J65" s="1273" t="s">
        <v>1026</v>
      </c>
      <c r="O65" s="286" t="s">
        <v>61</v>
      </c>
      <c r="P65" s="286" t="s">
        <v>1071</v>
      </c>
      <c r="Q65" s="286" t="s">
        <v>43</v>
      </c>
      <c r="R65" s="1238"/>
      <c r="S65" s="286" t="s">
        <v>1058</v>
      </c>
      <c r="T65" s="286" t="s">
        <v>773</v>
      </c>
      <c r="U65" s="1239" t="s">
        <v>1116</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row>
    <row r="66" hidden="1" outlineLevel="1">
      <c r="B66" s="1258"/>
      <c r="C66" s="1261"/>
      <c r="D66" s="1268"/>
      <c r="E66" s="1274"/>
      <c r="F66" s="1268"/>
      <c r="G66" s="1269"/>
      <c r="H66" s="1264"/>
      <c r="I66" s="1259"/>
      <c r="J66" s="1273" t="s">
        <v>1026</v>
      </c>
      <c r="O66" s="286" t="s">
        <v>61</v>
      </c>
      <c r="P66" s="286" t="s">
        <v>1071</v>
      </c>
      <c r="Q66" s="286" t="s">
        <v>40</v>
      </c>
      <c r="R66" s="1238"/>
      <c r="S66" s="286" t="s">
        <v>450</v>
      </c>
      <c r="T66" s="286" t="s">
        <v>774</v>
      </c>
      <c r="U66" s="1239" t="s">
        <v>1117</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row>
    <row r="67" hidden="1" outlineLevel="1">
      <c r="B67" s="1258"/>
      <c r="C67" s="1261"/>
      <c r="D67" s="1268"/>
      <c r="E67" s="1274"/>
      <c r="F67" s="1268"/>
      <c r="G67" s="1269"/>
      <c r="H67" s="1264"/>
      <c r="I67" s="1259"/>
      <c r="J67" s="1273" t="s">
        <v>1026</v>
      </c>
      <c r="O67" s="286" t="s">
        <v>61</v>
      </c>
      <c r="P67" s="286" t="s">
        <v>164</v>
      </c>
      <c r="Q67" s="286" t="s">
        <v>40</v>
      </c>
      <c r="R67" s="1238"/>
      <c r="S67" s="286" t="s">
        <v>454</v>
      </c>
      <c r="T67" s="286" t="s">
        <v>113</v>
      </c>
      <c r="U67" s="1239" t="s">
        <v>1118</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row>
    <row r="68" hidden="1" outlineLevel="1">
      <c r="B68" s="1275"/>
      <c r="C68" s="1269"/>
      <c r="D68" s="1268"/>
      <c r="E68" s="1274"/>
      <c r="F68" s="1268"/>
      <c r="G68" s="1269"/>
      <c r="H68" s="1264"/>
      <c r="I68" s="1259"/>
      <c r="J68" s="1273" t="s">
        <v>1026</v>
      </c>
      <c r="O68" s="286" t="s">
        <v>61</v>
      </c>
      <c r="P68" s="286" t="s">
        <v>1110</v>
      </c>
      <c r="Q68" s="286" t="s">
        <v>41</v>
      </c>
      <c r="R68" s="1238"/>
      <c r="S68" s="286" t="s">
        <v>171</v>
      </c>
      <c r="T68" s="286" t="s">
        <v>1119</v>
      </c>
      <c r="U68" s="1239" t="s">
        <v>1120</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row>
    <row r="69" hidden="1" outlineLevel="1">
      <c r="B69" s="1258"/>
      <c r="C69" s="1261"/>
      <c r="D69" s="1262"/>
      <c r="E69" s="1263"/>
      <c r="F69" s="1268"/>
      <c r="G69" s="1269"/>
      <c r="H69" s="1264"/>
      <c r="I69" s="1259"/>
      <c r="J69" s="1273" t="s">
        <v>1026</v>
      </c>
      <c r="O69" s="286" t="s">
        <v>61</v>
      </c>
      <c r="P69" s="286" t="s">
        <v>1121</v>
      </c>
      <c r="Q69" s="286" t="s">
        <v>40</v>
      </c>
      <c r="R69" s="1238"/>
      <c r="S69" s="286" t="s">
        <v>1058</v>
      </c>
      <c r="T69" s="286" t="s">
        <v>774</v>
      </c>
      <c r="U69" s="1239" t="s">
        <v>1122</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row>
    <row r="70" hidden="1" outlineLevel="1">
      <c r="B70" s="1258"/>
      <c r="C70" s="1261"/>
      <c r="D70" s="1262"/>
      <c r="E70" s="1263"/>
      <c r="F70" s="1268"/>
      <c r="G70" s="1269"/>
      <c r="H70" s="1264"/>
      <c r="I70" s="1259"/>
      <c r="J70" s="1273" t="s">
        <v>1026</v>
      </c>
      <c r="O70" s="286" t="s">
        <v>63</v>
      </c>
      <c r="P70" s="286" t="s">
        <v>109</v>
      </c>
      <c r="Q70" s="286" t="s">
        <v>28</v>
      </c>
      <c r="R70" s="1238"/>
      <c r="S70" s="286"/>
      <c r="T70" s="286"/>
      <c r="U70" s="1239" t="s">
        <v>1123</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row>
    <row r="71" hidden="1" outlineLevel="1">
      <c r="B71" s="1258"/>
      <c r="C71" s="1261"/>
      <c r="D71" s="1262"/>
      <c r="E71" s="1263"/>
      <c r="F71" s="1268"/>
      <c r="G71" s="1269"/>
      <c r="H71" s="1264"/>
      <c r="I71" s="1259"/>
      <c r="J71" s="1273" t="s">
        <v>1026</v>
      </c>
      <c r="O71" s="286" t="s">
        <v>63</v>
      </c>
      <c r="P71" s="286" t="s">
        <v>1124</v>
      </c>
      <c r="Q71" s="286" t="s">
        <v>43</v>
      </c>
      <c r="R71" s="1238"/>
      <c r="S71" s="286" t="s">
        <v>1058</v>
      </c>
      <c r="T71" s="286" t="s">
        <v>120</v>
      </c>
      <c r="U71" s="1239" t="s">
        <v>1125</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row>
    <row r="72" hidden="1" outlineLevel="1">
      <c r="B72" s="1258"/>
      <c r="C72" s="1261"/>
      <c r="D72" s="1262"/>
      <c r="E72" s="1263"/>
      <c r="F72" s="1268"/>
      <c r="G72" s="1269"/>
      <c r="H72" s="1264"/>
      <c r="I72" s="1259"/>
      <c r="J72" s="1273" t="s">
        <v>1026</v>
      </c>
      <c r="O72" s="286" t="s">
        <v>63</v>
      </c>
      <c r="P72" s="286" t="s">
        <v>1124</v>
      </c>
      <c r="Q72" s="286" t="s">
        <v>38</v>
      </c>
      <c r="R72" s="1238"/>
      <c r="S72" s="286" t="s">
        <v>454</v>
      </c>
      <c r="T72" s="286" t="s">
        <v>113</v>
      </c>
      <c r="U72" s="1239" t="s">
        <v>1126</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row>
    <row r="73" hidden="1" outlineLevel="1">
      <c r="B73" s="1258"/>
      <c r="C73" s="1261"/>
      <c r="D73" s="1262"/>
      <c r="E73" s="1263"/>
      <c r="F73" s="1268"/>
      <c r="G73" s="1269"/>
      <c r="H73" s="1264"/>
      <c r="I73" s="1259"/>
      <c r="J73" s="1273" t="s">
        <v>1026</v>
      </c>
      <c r="O73" s="286" t="s">
        <v>63</v>
      </c>
      <c r="P73" s="286" t="s">
        <v>1127</v>
      </c>
      <c r="Q73" s="286" t="s">
        <v>28</v>
      </c>
      <c r="R73" s="1238"/>
      <c r="S73" s="286" t="s">
        <v>1111</v>
      </c>
      <c r="T73" s="286" t="s">
        <v>773</v>
      </c>
      <c r="U73" s="1239" t="s">
        <v>1128</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row>
    <row r="74" hidden="1" outlineLevel="1">
      <c r="B74" s="1258"/>
      <c r="C74" s="1261"/>
      <c r="D74" s="1262"/>
      <c r="E74" s="1263"/>
      <c r="F74" s="1268"/>
      <c r="G74" s="1269"/>
      <c r="H74" s="1264"/>
      <c r="I74" s="1259"/>
      <c r="J74" s="1273" t="s">
        <v>1026</v>
      </c>
      <c r="O74" s="286" t="s">
        <v>63</v>
      </c>
      <c r="P74" s="286" t="s">
        <v>130</v>
      </c>
      <c r="Q74" s="286" t="s">
        <v>43</v>
      </c>
      <c r="R74" s="1238"/>
      <c r="S74" s="286" t="s">
        <v>103</v>
      </c>
      <c r="T74" s="286" t="s">
        <v>103</v>
      </c>
      <c r="U74" s="1239" t="s">
        <v>1129</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row>
    <row r="75" hidden="1" outlineLevel="1">
      <c r="B75" s="1258"/>
      <c r="C75" s="1261"/>
      <c r="D75" s="1262"/>
      <c r="E75" s="1263"/>
      <c r="F75" s="1268"/>
      <c r="G75" s="1269"/>
      <c r="H75" s="1264"/>
      <c r="I75" s="1259"/>
      <c r="J75" s="1273" t="s">
        <v>1026</v>
      </c>
      <c r="O75" s="286" t="s">
        <v>63</v>
      </c>
      <c r="P75" s="286" t="s">
        <v>1130</v>
      </c>
      <c r="Q75" s="286" t="s">
        <v>28</v>
      </c>
      <c r="R75" s="1238"/>
      <c r="S75" s="286" t="s">
        <v>103</v>
      </c>
      <c r="T75" s="286" t="s">
        <v>103</v>
      </c>
      <c r="U75" s="1239" t="s">
        <v>1131</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row>
    <row r="76" hidden="1" outlineLevel="1">
      <c r="B76" s="1258"/>
      <c r="C76" s="1261"/>
      <c r="D76" s="1262"/>
      <c r="E76" s="1263"/>
      <c r="F76" s="1268"/>
      <c r="G76" s="1269"/>
      <c r="H76" s="1264"/>
      <c r="I76" s="1259"/>
      <c r="J76" s="1273" t="s">
        <v>1026</v>
      </c>
      <c r="O76" s="286" t="s">
        <v>63</v>
      </c>
      <c r="P76" s="286" t="s">
        <v>176</v>
      </c>
      <c r="Q76" s="286" t="s">
        <v>42</v>
      </c>
      <c r="R76" s="1238"/>
      <c r="S76" s="286" t="s">
        <v>1111</v>
      </c>
      <c r="T76" s="286" t="s">
        <v>773</v>
      </c>
      <c r="U76" s="1239" t="s">
        <v>1132</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1026</v>
      </c>
      <c r="O77" s="286" t="s">
        <v>63</v>
      </c>
      <c r="P77" s="286" t="s">
        <v>176</v>
      </c>
      <c r="Q77" s="286" t="s">
        <v>40</v>
      </c>
      <c r="R77" s="1238"/>
      <c r="S77" s="286" t="s">
        <v>454</v>
      </c>
      <c r="T77" s="286" t="s">
        <v>470</v>
      </c>
      <c r="U77" s="1239" t="s">
        <v>1118</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1026</v>
      </c>
      <c r="O78" s="286" t="s">
        <v>63</v>
      </c>
      <c r="P78" s="286" t="s">
        <v>1133</v>
      </c>
      <c r="Q78" s="286" t="s">
        <v>41</v>
      </c>
      <c r="R78" s="1238"/>
      <c r="S78" s="286" t="s">
        <v>1058</v>
      </c>
      <c r="T78" s="286" t="s">
        <v>773</v>
      </c>
      <c r="U78" s="1239" t="s">
        <v>1134</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1026</v>
      </c>
      <c r="O79" s="286" t="s">
        <v>63</v>
      </c>
      <c r="P79" s="286" t="s">
        <v>1133</v>
      </c>
      <c r="Q79" s="286" t="s">
        <v>43</v>
      </c>
      <c r="R79" s="1238"/>
      <c r="S79" s="286" t="s">
        <v>460</v>
      </c>
      <c r="T79" s="286" t="s">
        <v>135</v>
      </c>
      <c r="U79" s="1239" t="s">
        <v>1135</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1026</v>
      </c>
      <c r="O80" s="286" t="s">
        <v>63</v>
      </c>
      <c r="P80" s="286" t="s">
        <v>1094</v>
      </c>
      <c r="Q80" s="286" t="s">
        <v>28</v>
      </c>
      <c r="R80" s="1238"/>
      <c r="S80" s="286" t="s">
        <v>1066</v>
      </c>
      <c r="T80" s="286" t="s">
        <v>1066</v>
      </c>
      <c r="U80" s="1239" t="s">
        <v>1136</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1026</v>
      </c>
      <c r="O81" s="286" t="s">
        <v>65</v>
      </c>
      <c r="P81" s="286" t="s">
        <v>1137</v>
      </c>
      <c r="Q81" s="286" t="s">
        <v>30</v>
      </c>
      <c r="R81" s="1238"/>
      <c r="S81" s="286" t="s">
        <v>450</v>
      </c>
      <c r="T81" s="286" t="s">
        <v>472</v>
      </c>
      <c r="U81" s="1239" t="s">
        <v>1138</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1026</v>
      </c>
      <c r="O82" s="286" t="s">
        <v>65</v>
      </c>
      <c r="P82" s="286" t="s">
        <v>98</v>
      </c>
      <c r="Q82" s="286" t="s">
        <v>39</v>
      </c>
      <c r="R82" s="1238"/>
      <c r="S82" s="286" t="s">
        <v>1111</v>
      </c>
      <c r="T82" s="286" t="s">
        <v>470</v>
      </c>
      <c r="U82" s="1239" t="s">
        <v>1139</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1026</v>
      </c>
      <c r="O83" s="286" t="s">
        <v>65</v>
      </c>
      <c r="P83" s="286" t="s">
        <v>98</v>
      </c>
      <c r="Q83" s="286" t="s">
        <v>28</v>
      </c>
      <c r="R83" s="1238"/>
      <c r="S83" s="286" t="s">
        <v>1066</v>
      </c>
      <c r="T83" s="286" t="s">
        <v>1066</v>
      </c>
      <c r="U83" s="1239" t="s">
        <v>1140</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1026</v>
      </c>
      <c r="O84" s="286" t="s">
        <v>65</v>
      </c>
      <c r="P84" s="286" t="s">
        <v>1108</v>
      </c>
      <c r="Q84" s="286" t="s">
        <v>40</v>
      </c>
      <c r="R84" s="1238"/>
      <c r="S84" s="286" t="s">
        <v>454</v>
      </c>
      <c r="T84" s="286" t="s">
        <v>135</v>
      </c>
      <c r="U84" s="1239" t="s">
        <v>1141</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1026</v>
      </c>
      <c r="O85" s="286" t="s">
        <v>65</v>
      </c>
      <c r="P85" s="286" t="s">
        <v>1108</v>
      </c>
      <c r="Q85" s="286" t="s">
        <v>39</v>
      </c>
      <c r="R85" s="1238"/>
      <c r="S85" s="286" t="s">
        <v>453</v>
      </c>
      <c r="T85" s="286" t="s">
        <v>472</v>
      </c>
      <c r="U85" s="1239" t="s">
        <v>1142</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1026</v>
      </c>
      <c r="O86" s="286" t="s">
        <v>65</v>
      </c>
      <c r="P86" s="286" t="s">
        <v>1068</v>
      </c>
      <c r="Q86" s="286" t="s">
        <v>30</v>
      </c>
      <c r="R86" s="1238"/>
      <c r="S86" s="286" t="s">
        <v>100</v>
      </c>
      <c r="T86" s="286" t="s">
        <v>637</v>
      </c>
      <c r="U86" s="1239" t="s">
        <v>1143</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1026</v>
      </c>
      <c r="O87" s="286" t="s">
        <v>67</v>
      </c>
      <c r="P87" s="286" t="s">
        <v>1074</v>
      </c>
      <c r="Q87" s="286" t="s">
        <v>28</v>
      </c>
      <c r="R87" s="1238"/>
      <c r="S87" s="286"/>
      <c r="T87" s="286"/>
      <c r="U87" s="1239" t="s">
        <v>1144</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1026</v>
      </c>
      <c r="O88" s="286" t="s">
        <v>67</v>
      </c>
      <c r="P88" s="286" t="s">
        <v>151</v>
      </c>
      <c r="Q88" s="286" t="s">
        <v>38</v>
      </c>
      <c r="R88" s="1238"/>
      <c r="S88" s="286" t="s">
        <v>454</v>
      </c>
      <c r="T88" s="286" t="s">
        <v>472</v>
      </c>
      <c r="U88" s="1239" t="s">
        <v>1145</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1026</v>
      </c>
      <c r="O89" s="286" t="s">
        <v>67</v>
      </c>
      <c r="P89" s="286" t="s">
        <v>1097</v>
      </c>
      <c r="Q89" s="286" t="s">
        <v>40</v>
      </c>
      <c r="R89" s="1238"/>
      <c r="S89" s="286" t="s">
        <v>454</v>
      </c>
      <c r="T89" s="286" t="s">
        <v>113</v>
      </c>
      <c r="U89" s="1239" t="s">
        <v>1146</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1026</v>
      </c>
      <c r="O90" s="286" t="s">
        <v>67</v>
      </c>
      <c r="P90" s="286" t="s">
        <v>1057</v>
      </c>
      <c r="Q90" s="286" t="s">
        <v>28</v>
      </c>
      <c r="R90" s="1238"/>
      <c r="S90" s="286"/>
      <c r="T90" s="286"/>
      <c r="U90" s="1239" t="s">
        <v>1147</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1026</v>
      </c>
      <c r="K91" s="17"/>
      <c r="L91" s="17"/>
      <c r="M91" s="17"/>
      <c r="O91" s="286" t="s">
        <v>67</v>
      </c>
      <c r="P91" s="286" t="s">
        <v>1097</v>
      </c>
      <c r="Q91" s="286" t="s">
        <v>28</v>
      </c>
      <c r="R91" s="1238"/>
      <c r="S91" s="286"/>
      <c r="T91" s="286"/>
      <c r="U91" s="1239" t="s">
        <v>1148</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1149</v>
      </c>
      <c r="C92" s="1162"/>
      <c r="D92" s="1162"/>
      <c r="E92" s="1162"/>
      <c r="F92" s="1162"/>
      <c r="G92" s="1162"/>
      <c r="H92" s="1162"/>
      <c r="I92" s="1162"/>
      <c r="J92" s="1162"/>
      <c r="K92" s="1162"/>
      <c r="L92" s="1162"/>
      <c r="M92" s="1163"/>
      <c r="O92" s="286" t="s">
        <v>67</v>
      </c>
      <c r="P92" s="286" t="s">
        <v>1130</v>
      </c>
      <c r="Q92" s="286" t="s">
        <v>28</v>
      </c>
      <c r="R92" s="1238"/>
      <c r="S92" s="286"/>
      <c r="T92" s="286"/>
      <c r="U92" s="1239" t="s">
        <v>1150</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1151</v>
      </c>
      <c r="C93" s="250"/>
      <c r="D93" s="1282" t="s">
        <v>1049</v>
      </c>
      <c r="F93" s="6"/>
      <c r="M93" s="1233"/>
      <c r="O93" s="286" t="s">
        <v>67</v>
      </c>
      <c r="P93" s="286" t="s">
        <v>1127</v>
      </c>
      <c r="Q93" s="286" t="s">
        <v>38</v>
      </c>
      <c r="R93" s="1238"/>
      <c r="S93" s="286" t="s">
        <v>454</v>
      </c>
      <c r="T93" s="286" t="s">
        <v>472</v>
      </c>
      <c r="U93" s="1239" t="s">
        <v>1152</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454</v>
      </c>
      <c r="T94" s="286" t="s">
        <v>472</v>
      </c>
      <c r="U94" s="1239" t="s">
        <v>1153</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0" t="str">
        <f>IFERROR(__xludf.DUMMYFUNCTION("""COMPUTED_VALUE"""),"6日")</f>
        <v>6日</v>
      </c>
      <c r="D95" s="1291" t="str">
        <f>IFERROR(__xludf.DUMMYFUNCTION("""COMPUTED_VALUE"""),"残置")</f>
        <v>残置</v>
      </c>
      <c r="E95" s="981" t="str">
        <f>IFERROR(__xludf.DUMMYFUNCTION("""COMPUTED_VALUE"""),"福永")</f>
        <v>福永</v>
      </c>
      <c r="F95" s="981" t="str">
        <f>IFERROR(__xludf.DUMMYFUNCTION("""COMPUTED_VALUE"""),"－")</f>
        <v>－</v>
      </c>
      <c r="G95" s="1292" t="str">
        <f>IFERROR(__xludf.DUMMYFUNCTION("""COMPUTED_VALUE"""),"エコ清掃で交換したゴミが床に置きっぱなしだった")</f>
        <v>エコ清掃で交換したゴミが床に置きっぱなしだった</v>
      </c>
      <c r="H95" s="232"/>
      <c r="I95" s="232"/>
      <c r="J95" s="232"/>
      <c r="K95" s="232"/>
      <c r="L95" s="232"/>
      <c r="M95" s="1293"/>
      <c r="O95" s="286" t="s">
        <v>67</v>
      </c>
      <c r="P95" s="286" t="s">
        <v>176</v>
      </c>
      <c r="Q95" s="286" t="s">
        <v>40</v>
      </c>
      <c r="R95" s="1238"/>
      <c r="S95" s="286" t="s">
        <v>1058</v>
      </c>
      <c r="T95" s="286" t="s">
        <v>773</v>
      </c>
      <c r="U95" s="1239" t="s">
        <v>1154</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t="str">
        <f>IFERROR(__xludf.DUMMYFUNCTION("""COMPUTED_VALUE"""),"2月")</f>
        <v>2月</v>
      </c>
      <c r="C96" s="981" t="str">
        <f>IFERROR(__xludf.DUMMYFUNCTION("""COMPUTED_VALUE"""),"7日")</f>
        <v>7日</v>
      </c>
      <c r="D96" s="981" t="str">
        <f>IFERROR(__xludf.DUMMYFUNCTION("""COMPUTED_VALUE"""),"セット漏れ")</f>
        <v>セット漏れ</v>
      </c>
      <c r="E96" s="981" t="str">
        <f>IFERROR(__xludf.DUMMYFUNCTION("""COMPUTED_VALUE"""),"アラム")</f>
        <v>アラム</v>
      </c>
      <c r="F96" s="981" t="str">
        <f>IFERROR(__xludf.DUMMYFUNCTION("""COMPUTED_VALUE"""),"サンタ")</f>
        <v>サンタ</v>
      </c>
      <c r="G96" s="1292" t="str">
        <f>IFERROR(__xludf.DUMMYFUNCTION("""COMPUTED_VALUE"""),"トイレットペーパーいれてない、フェイスタオルに血があった")</f>
        <v>トイレットペーパーいれてない、フェイスタオルに血があった</v>
      </c>
      <c r="H96" s="232"/>
      <c r="I96" s="232"/>
      <c r="J96" s="232"/>
      <c r="K96" s="232"/>
      <c r="L96" s="232"/>
      <c r="M96" s="1293"/>
      <c r="O96" s="286" t="s">
        <v>69</v>
      </c>
      <c r="P96" s="286" t="s">
        <v>1074</v>
      </c>
      <c r="Q96" s="286" t="s">
        <v>39</v>
      </c>
      <c r="R96" s="1238"/>
      <c r="S96" s="286" t="s">
        <v>1111</v>
      </c>
      <c r="T96" s="286" t="s">
        <v>470</v>
      </c>
      <c r="U96" s="1239" t="s">
        <v>1155</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t="str">
        <f>IFERROR(__xludf.DUMMYFUNCTION("""COMPUTED_VALUE"""),"2月")</f>
        <v>2月</v>
      </c>
      <c r="C97" s="981" t="str">
        <f>IFERROR(__xludf.DUMMYFUNCTION("""COMPUTED_VALUE"""),"8日")</f>
        <v>8日</v>
      </c>
      <c r="D97" s="981" t="str">
        <f>IFERROR(__xludf.DUMMYFUNCTION("""COMPUTED_VALUE"""),"セット漏れ")</f>
        <v>セット漏れ</v>
      </c>
      <c r="E97" s="981" t="str">
        <f>IFERROR(__xludf.DUMMYFUNCTION("""COMPUTED_VALUE"""),"シャキラ")</f>
        <v>シャキラ</v>
      </c>
      <c r="F97" s="981" t="str">
        <f>IFERROR(__xludf.DUMMYFUNCTION("""COMPUTED_VALUE"""),"ビケス")</f>
        <v>ビケス</v>
      </c>
      <c r="G97" s="1292" t="str">
        <f>IFERROR(__xludf.DUMMYFUNCTION("""COMPUTED_VALUE"""),"スリッパが片方不足")</f>
        <v>スリッパが片方不足</v>
      </c>
      <c r="H97" s="232"/>
      <c r="I97" s="232"/>
      <c r="J97" s="232"/>
      <c r="K97" s="232"/>
      <c r="L97" s="232"/>
      <c r="M97" s="1293"/>
      <c r="O97" s="286" t="s">
        <v>69</v>
      </c>
      <c r="P97" s="286" t="s">
        <v>140</v>
      </c>
      <c r="Q97" s="286" t="s">
        <v>40</v>
      </c>
      <c r="R97" s="1238"/>
      <c r="S97" s="286" t="s">
        <v>1035</v>
      </c>
      <c r="T97" s="286" t="s">
        <v>475</v>
      </c>
      <c r="U97" s="1239" t="s">
        <v>1156</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t="str">
        <f>IFERROR(__xludf.DUMMYFUNCTION("""COMPUTED_VALUE"""),"2月")</f>
        <v>2月</v>
      </c>
      <c r="C98" s="981" t="str">
        <f>IFERROR(__xludf.DUMMYFUNCTION("""COMPUTED_VALUE"""),"8日")</f>
        <v>8日</v>
      </c>
      <c r="D98" s="981" t="str">
        <f>IFERROR(__xludf.DUMMYFUNCTION("""COMPUTED_VALUE"""),"清掃不備")</f>
        <v>清掃不備</v>
      </c>
      <c r="E98" s="981" t="str">
        <f>IFERROR(__xludf.DUMMYFUNCTION("""COMPUTED_VALUE"""),"シャキラ")</f>
        <v>シャキラ</v>
      </c>
      <c r="F98" s="981" t="str">
        <f>IFERROR(__xludf.DUMMYFUNCTION("""COMPUTED_VALUE"""),"カトリ")</f>
        <v>カトリ</v>
      </c>
      <c r="G98" s="1292" t="str">
        <f>IFERROR(__xludf.DUMMYFUNCTION("""COMPUTED_VALUE"""),"シャンプー2本あり，ボディーソープがなかった")</f>
        <v>シャンプー2本あり，ボディーソープがなかった</v>
      </c>
      <c r="H98" s="232"/>
      <c r="I98" s="232"/>
      <c r="J98" s="232"/>
      <c r="K98" s="232"/>
      <c r="L98" s="232"/>
      <c r="M98" s="1293"/>
      <c r="O98" s="286" t="s">
        <v>69</v>
      </c>
      <c r="P98" s="286" t="s">
        <v>1113</v>
      </c>
      <c r="Q98" s="286"/>
      <c r="R98" s="1238"/>
      <c r="S98" s="286"/>
      <c r="T98" s="286"/>
      <c r="U98" s="1239" t="s">
        <v>1157</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t="str">
        <f>IFERROR(__xludf.DUMMYFUNCTION("""COMPUTED_VALUE"""),"2月")</f>
        <v>2月</v>
      </c>
      <c r="C99" s="981" t="str">
        <f>IFERROR(__xludf.DUMMYFUNCTION("""COMPUTED_VALUE"""),"19日")</f>
        <v>19日</v>
      </c>
      <c r="D99" s="981" t="str">
        <f>IFERROR(__xludf.DUMMYFUNCTION("""COMPUTED_VALUE"""),"髪の毛")</f>
        <v>髪の毛</v>
      </c>
      <c r="E99" s="981" t="str">
        <f>IFERROR(__xludf.DUMMYFUNCTION("""COMPUTED_VALUE"""),"宇佐美")</f>
        <v>宇佐美</v>
      </c>
      <c r="F99" s="981" t="str">
        <f>IFERROR(__xludf.DUMMYFUNCTION("""COMPUTED_VALUE"""),"ー")</f>
        <v>ー</v>
      </c>
      <c r="G99" s="1292" t="str">
        <f>IFERROR(__xludf.DUMMYFUNCTION("""COMPUTED_VALUE"""),"タオルセットドア掛けDDの際に髪の毛混入")</f>
        <v>タオルセットドア掛けDDの際に髪の毛混入</v>
      </c>
      <c r="H99" s="232"/>
      <c r="I99" s="232"/>
      <c r="J99" s="232"/>
      <c r="K99" s="232"/>
      <c r="L99" s="232"/>
      <c r="M99" s="1293"/>
      <c r="O99" s="286" t="s">
        <v>69</v>
      </c>
      <c r="P99" s="286" t="s">
        <v>1133</v>
      </c>
      <c r="Q99" s="286" t="s">
        <v>43</v>
      </c>
      <c r="R99" s="1238"/>
      <c r="S99" s="286" t="s">
        <v>171</v>
      </c>
      <c r="T99" s="286" t="s">
        <v>472</v>
      </c>
      <c r="U99" s="1239" t="s">
        <v>1158</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t="str">
        <f>IFERROR(__xludf.DUMMYFUNCTION("""COMPUTED_VALUE"""),"2月")</f>
        <v>2月</v>
      </c>
      <c r="C100" s="981" t="str">
        <f>IFERROR(__xludf.DUMMYFUNCTION("""COMPUTED_VALUE"""),"23日")</f>
        <v>23日</v>
      </c>
      <c r="D100" s="981" t="str">
        <f>IFERROR(__xludf.DUMMYFUNCTION("""COMPUTED_VALUE"""),"その他")</f>
        <v>その他</v>
      </c>
      <c r="E100" s="981" t="str">
        <f>IFERROR(__xludf.DUMMYFUNCTION("""COMPUTED_VALUE"""),"メイ")</f>
        <v>メイ</v>
      </c>
      <c r="F100" s="981"/>
      <c r="G100" s="1292" t="str">
        <f>IFERROR(__xludf.DUMMYFUNCTION("""COMPUTED_VALUE"""),"シューシャインペーパーがドアに挟まっていた。")</f>
        <v>シューシャインペーパーがドアに挟まっていた。</v>
      </c>
      <c r="H100" s="232"/>
      <c r="I100" s="232"/>
      <c r="J100" s="232"/>
      <c r="K100" s="232"/>
      <c r="L100" s="232"/>
      <c r="M100" s="1293"/>
      <c r="O100" s="286" t="s">
        <v>69</v>
      </c>
      <c r="P100" s="286" t="s">
        <v>1121</v>
      </c>
      <c r="Q100" s="286" t="s">
        <v>38</v>
      </c>
      <c r="R100" s="1238"/>
      <c r="S100" s="286" t="s">
        <v>171</v>
      </c>
      <c r="T100" s="286" t="s">
        <v>472</v>
      </c>
      <c r="U100" s="1239" t="s">
        <v>1159</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t="str">
        <f>IFERROR(__xludf.DUMMYFUNCTION("""COMPUTED_VALUE"""),"2月")</f>
        <v>2月</v>
      </c>
      <c r="C101" s="981" t="str">
        <f>IFERROR(__xludf.DUMMYFUNCTION("""COMPUTED_VALUE"""),"23日")</f>
        <v>23日</v>
      </c>
      <c r="D101" s="981" t="str">
        <f>IFERROR(__xludf.DUMMYFUNCTION("""COMPUTED_VALUE"""),"その他")</f>
        <v>その他</v>
      </c>
      <c r="E101" s="981" t="str">
        <f>IFERROR(__xludf.DUMMYFUNCTION("""COMPUTED_VALUE"""),"メイ")</f>
        <v>メイ</v>
      </c>
      <c r="F101" s="981" t="str">
        <f>IFERROR(__xludf.DUMMYFUNCTION("""COMPUTED_VALUE"""),"メイ")</f>
        <v>メイ</v>
      </c>
      <c r="G101" s="1292" t="str">
        <f>IFERROR(__xludf.DUMMYFUNCTION("""COMPUTED_VALUE"""),"空気清浄機が浴室にあった。")</f>
        <v>空気清浄機が浴室にあった。</v>
      </c>
      <c r="H101" s="232"/>
      <c r="I101" s="232"/>
      <c r="J101" s="232"/>
      <c r="K101" s="232"/>
      <c r="L101" s="232"/>
      <c r="M101" s="1293"/>
      <c r="O101" s="286" t="s">
        <v>69</v>
      </c>
      <c r="P101" s="286" t="s">
        <v>1121</v>
      </c>
      <c r="Q101" s="286" t="s">
        <v>43</v>
      </c>
      <c r="R101" s="1238"/>
      <c r="S101" s="286" t="s">
        <v>454</v>
      </c>
      <c r="T101" s="286" t="s">
        <v>113</v>
      </c>
      <c r="U101" s="1239" t="s">
        <v>1160</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t="str">
        <f>IFERROR(__xludf.DUMMYFUNCTION("""COMPUTED_VALUE"""),"3月")</f>
        <v>3月</v>
      </c>
      <c r="C102" s="981" t="str">
        <f>IFERROR(__xludf.DUMMYFUNCTION("""COMPUTED_VALUE"""),"10日")</f>
        <v>10日</v>
      </c>
      <c r="D102" s="981" t="str">
        <f>IFERROR(__xludf.DUMMYFUNCTION("""COMPUTED_VALUE"""),"セット漏れ")</f>
        <v>セット漏れ</v>
      </c>
      <c r="E102" s="981" t="str">
        <f>IFERROR(__xludf.DUMMYFUNCTION("""COMPUTED_VALUE"""),"メイ")</f>
        <v>メイ</v>
      </c>
      <c r="F102" s="981" t="str">
        <f>IFERROR(__xludf.DUMMYFUNCTION("""COMPUTED_VALUE"""),"メイ")</f>
        <v>メイ</v>
      </c>
      <c r="G102" s="1292" t="str">
        <f>IFERROR(__xludf.DUMMYFUNCTION("""COMPUTED_VALUE"""),"フルステイスリッパセット漏れ")</f>
        <v>フルステイスリッパセット漏れ</v>
      </c>
      <c r="H102" s="232"/>
      <c r="I102" s="232"/>
      <c r="J102" s="232"/>
      <c r="K102" s="232"/>
      <c r="L102" s="232"/>
      <c r="M102" s="1293"/>
      <c r="O102" s="286" t="s">
        <v>71</v>
      </c>
      <c r="P102" s="286" t="s">
        <v>1137</v>
      </c>
      <c r="Q102" s="286" t="s">
        <v>39</v>
      </c>
      <c r="R102" s="1238"/>
      <c r="S102" s="286" t="s">
        <v>454</v>
      </c>
      <c r="T102" s="286" t="s">
        <v>474</v>
      </c>
      <c r="U102" s="1239" t="s">
        <v>1161</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t="str">
        <f>IFERROR(__xludf.DUMMYFUNCTION("""COMPUTED_VALUE"""),"3月")</f>
        <v>3月</v>
      </c>
      <c r="C103" s="981" t="str">
        <f>IFERROR(__xludf.DUMMYFUNCTION("""COMPUTED_VALUE"""),"11日")</f>
        <v>11日</v>
      </c>
      <c r="D103" s="981" t="str">
        <f>IFERROR(__xludf.DUMMYFUNCTION("""COMPUTED_VALUE"""),"清掃不備")</f>
        <v>清掃不備</v>
      </c>
      <c r="E103" s="981"/>
      <c r="F103" s="981" t="str">
        <f>IFERROR(__xludf.DUMMYFUNCTION("""COMPUTED_VALUE"""),"ギミレ")</f>
        <v>ギミレ</v>
      </c>
      <c r="G103" s="1292" t="str">
        <f>IFERROR(__xludf.DUMMYFUNCTION("""COMPUTED_VALUE"""),"エコ清掃タオル乱雑設置、ゴミ未回収")</f>
        <v>エコ清掃タオル乱雑設置、ゴミ未回収</v>
      </c>
      <c r="H103" s="232"/>
      <c r="I103" s="232"/>
      <c r="J103" s="232"/>
      <c r="K103" s="232"/>
      <c r="L103" s="232"/>
      <c r="M103" s="1293"/>
      <c r="O103" s="286" t="s">
        <v>71</v>
      </c>
      <c r="P103" s="286" t="s">
        <v>1097</v>
      </c>
      <c r="Q103" s="286" t="s">
        <v>39</v>
      </c>
      <c r="R103" s="1238"/>
      <c r="S103" s="286" t="s">
        <v>1058</v>
      </c>
      <c r="T103" s="286" t="s">
        <v>774</v>
      </c>
      <c r="U103" s="1239" t="s">
        <v>1162</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t="str">
        <f>IFERROR(__xludf.DUMMYFUNCTION("""COMPUTED_VALUE"""),"3月")</f>
        <v>3月</v>
      </c>
      <c r="C104" s="981" t="str">
        <f>IFERROR(__xludf.DUMMYFUNCTION("""COMPUTED_VALUE"""),"14日")</f>
        <v>14日</v>
      </c>
      <c r="D104" s="981" t="str">
        <f>IFERROR(__xludf.DUMMYFUNCTION("""COMPUTED_VALUE"""),"セット漏れ")</f>
        <v>セット漏れ</v>
      </c>
      <c r="E104" s="981" t="str">
        <f>IFERROR(__xludf.DUMMYFUNCTION("""COMPUTED_VALUE"""),"メイ")</f>
        <v>メイ</v>
      </c>
      <c r="F104" s="981" t="str">
        <f>IFERROR(__xludf.DUMMYFUNCTION("""COMPUTED_VALUE"""),"ランジュ")</f>
        <v>ランジュ</v>
      </c>
      <c r="G104" s="1292" t="str">
        <f>IFERROR(__xludf.DUMMYFUNCTION("""COMPUTED_VALUE"""),"灰皿のセット漏れ")</f>
        <v>灰皿のセット漏れ</v>
      </c>
      <c r="H104" s="232"/>
      <c r="I104" s="232"/>
      <c r="J104" s="232"/>
      <c r="K104" s="232"/>
      <c r="L104" s="232"/>
      <c r="M104" s="1293"/>
      <c r="O104" s="286" t="s">
        <v>71</v>
      </c>
      <c r="P104" s="286" t="s">
        <v>1097</v>
      </c>
      <c r="Q104" s="286" t="s">
        <v>40</v>
      </c>
      <c r="R104" s="1238"/>
      <c r="S104" s="286" t="s">
        <v>1058</v>
      </c>
      <c r="T104" s="286" t="s">
        <v>472</v>
      </c>
      <c r="U104" s="1239" t="s">
        <v>1163</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t="str">
        <f>IFERROR(__xludf.DUMMYFUNCTION("""COMPUTED_VALUE"""),"3月")</f>
        <v>3月</v>
      </c>
      <c r="C105" s="981" t="str">
        <f>IFERROR(__xludf.DUMMYFUNCTION("""COMPUTED_VALUE"""),"18日")</f>
        <v>18日</v>
      </c>
      <c r="D105" s="981" t="str">
        <f>IFERROR(__xludf.DUMMYFUNCTION("""COMPUTED_VALUE"""),"セット漏れ")</f>
        <v>セット漏れ</v>
      </c>
      <c r="E105" s="981" t="str">
        <f>IFERROR(__xludf.DUMMYFUNCTION("""COMPUTED_VALUE"""),"佐藤")</f>
        <v>佐藤</v>
      </c>
      <c r="F105" s="981" t="str">
        <f>IFERROR(__xludf.DUMMYFUNCTION("""COMPUTED_VALUE"""),"サンタ")</f>
        <v>サンタ</v>
      </c>
      <c r="G105" s="1292" t="str">
        <f>IFERROR(__xludf.DUMMYFUNCTION("""COMPUTED_VALUE"""),"シャンプー、コンディショナーのセット漏れ")</f>
        <v>シャンプー、コンディショナーのセット漏れ</v>
      </c>
      <c r="H105" s="232"/>
      <c r="I105" s="232"/>
      <c r="J105" s="232"/>
      <c r="K105" s="232"/>
      <c r="L105" s="232"/>
      <c r="M105" s="1293"/>
      <c r="O105" s="286" t="s">
        <v>71</v>
      </c>
      <c r="P105" s="286" t="s">
        <v>151</v>
      </c>
      <c r="Q105" s="286" t="s">
        <v>30</v>
      </c>
      <c r="R105" s="1238"/>
      <c r="S105" s="286" t="s">
        <v>1058</v>
      </c>
      <c r="T105" s="286"/>
      <c r="U105" s="1239" t="s">
        <v>1164</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t="str">
        <f>IFERROR(__xludf.DUMMYFUNCTION("""COMPUTED_VALUE"""),"3月")</f>
        <v>3月</v>
      </c>
      <c r="C106" s="981" t="str">
        <f>IFERROR(__xludf.DUMMYFUNCTION("""COMPUTED_VALUE"""),"21日")</f>
        <v>21日</v>
      </c>
      <c r="D106" s="981" t="str">
        <f>IFERROR(__xludf.DUMMYFUNCTION("""COMPUTED_VALUE"""),"セット漏れ")</f>
        <v>セット漏れ</v>
      </c>
      <c r="E106" s="981" t="str">
        <f>IFERROR(__xludf.DUMMYFUNCTION("""COMPUTED_VALUE"""),"メイ")</f>
        <v>メイ</v>
      </c>
      <c r="F106" s="981" t="str">
        <f>IFERROR(__xludf.DUMMYFUNCTION("""COMPUTED_VALUE"""),"カトリ")</f>
        <v>カトリ</v>
      </c>
      <c r="G106" s="1292" t="str">
        <f>IFERROR(__xludf.DUMMYFUNCTION("""COMPUTED_VALUE"""),"タオルセット１の未手配")</f>
        <v>タオルセット１の未手配</v>
      </c>
      <c r="H106" s="232"/>
      <c r="I106" s="232"/>
      <c r="J106" s="232"/>
      <c r="K106" s="232"/>
      <c r="L106" s="232"/>
      <c r="M106" s="1293"/>
      <c r="O106" s="286" t="s">
        <v>71</v>
      </c>
      <c r="P106" s="286" t="s">
        <v>1124</v>
      </c>
      <c r="Q106" s="286" t="s">
        <v>28</v>
      </c>
      <c r="R106" s="1238"/>
      <c r="S106" s="286"/>
      <c r="T106" s="286"/>
      <c r="U106" s="1239" t="s">
        <v>1165</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1068</v>
      </c>
      <c r="Q107" s="286" t="s">
        <v>43</v>
      </c>
      <c r="R107" s="1238"/>
      <c r="S107" s="286" t="s">
        <v>1058</v>
      </c>
      <c r="T107" s="286" t="s">
        <v>470</v>
      </c>
      <c r="U107" s="1239" t="s">
        <v>1166</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1108</v>
      </c>
      <c r="Q108" s="286" t="s">
        <v>40</v>
      </c>
      <c r="R108" s="1238"/>
      <c r="S108" s="286" t="s">
        <v>1035</v>
      </c>
      <c r="T108" s="286" t="s">
        <v>773</v>
      </c>
      <c r="U108" s="1239" t="s">
        <v>1167</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450</v>
      </c>
      <c r="T109" s="286" t="s">
        <v>773</v>
      </c>
      <c r="U109" s="1239" t="s">
        <v>1168</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1169</v>
      </c>
      <c r="Q110" s="286" t="s">
        <v>30</v>
      </c>
      <c r="R110" s="1238"/>
      <c r="S110" s="286"/>
      <c r="T110" s="286" t="s">
        <v>112</v>
      </c>
      <c r="U110" s="1239" t="s">
        <v>1170</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1137</v>
      </c>
      <c r="Q111" s="286" t="s">
        <v>40</v>
      </c>
      <c r="R111" s="1238"/>
      <c r="S111" s="286" t="s">
        <v>1035</v>
      </c>
      <c r="T111" s="286"/>
      <c r="U111" s="1239" t="s">
        <v>1171</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453</v>
      </c>
      <c r="T112" s="286" t="s">
        <v>470</v>
      </c>
      <c r="U112" s="1239" t="s">
        <v>1172</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1062</v>
      </c>
      <c r="Q113" s="286" t="s">
        <v>40</v>
      </c>
      <c r="R113" s="1238"/>
      <c r="S113" s="286" t="s">
        <v>171</v>
      </c>
      <c r="T113" s="286" t="s">
        <v>103</v>
      </c>
      <c r="U113" s="1239" t="s">
        <v>1173</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1127</v>
      </c>
      <c r="Q114" s="286" t="s">
        <v>43</v>
      </c>
      <c r="R114" s="1238"/>
      <c r="S114" s="286" t="s">
        <v>454</v>
      </c>
      <c r="T114" s="286" t="s">
        <v>472</v>
      </c>
      <c r="U114" s="1239" t="s">
        <v>1174</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1127</v>
      </c>
      <c r="Q115" s="286" t="s">
        <v>42</v>
      </c>
      <c r="R115" s="1238"/>
      <c r="S115" s="286" t="s">
        <v>103</v>
      </c>
      <c r="T115" s="286" t="s">
        <v>525</v>
      </c>
      <c r="U115" s="1239" t="s">
        <v>1175</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1127</v>
      </c>
      <c r="Q116" s="286" t="s">
        <v>42</v>
      </c>
      <c r="R116" s="1238"/>
      <c r="S116" s="286" t="s">
        <v>103</v>
      </c>
      <c r="T116" s="286" t="s">
        <v>525</v>
      </c>
      <c r="U116" s="1239" t="s">
        <v>1175</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1127</v>
      </c>
      <c r="Q117" s="286" t="s">
        <v>30</v>
      </c>
      <c r="R117" s="1238"/>
      <c r="S117" s="286" t="s">
        <v>142</v>
      </c>
      <c r="T117" s="286"/>
      <c r="U117" s="1239" t="s">
        <v>1176</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454</v>
      </c>
      <c r="T118" s="286"/>
      <c r="U118" s="1239" t="s">
        <v>1176</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1176</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1177</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1177</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1035</v>
      </c>
      <c r="T122" s="286"/>
      <c r="U122" s="1239" t="s">
        <v>1177</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1035</v>
      </c>
      <c r="T123" s="286"/>
      <c r="U123" s="1239" t="s">
        <v>1177</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1026</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1026</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1026</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1026</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1026</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1026</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1026</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1026</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1026</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1026</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1026</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1026</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1026</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1026</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1026</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1026</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1026</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1026</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1026</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1026</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1026</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1026</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1026</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1026</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1026</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1026</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1026</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1026</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1026</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1026</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1026</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1026</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1026</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1026</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1026</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1026</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1026</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1026</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1026</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1026</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1026</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1026</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1026</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1026</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1026</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1026</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1026</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1026</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1026</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1026</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1026</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1026</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1026</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1026</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1026</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1026</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1026</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1026</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1026</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1026</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1026</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1026</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1026</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1026</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1026</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1026</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1026</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1026</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1026</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1026</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1026</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1026</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1026</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1026</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1026</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1026</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1026</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1026</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1026</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1026</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1026</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1026</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1026</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1026</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1026</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1026</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1026</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1026</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1026</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1026</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1026</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1026</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1026</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1026</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1026</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1026</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1026</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1026</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1026</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1026</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1026</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1026</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1026</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1026</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1026</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1026</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1026</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1026</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1026</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1026</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1026</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1026</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1026</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1026</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1026</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1026</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1026</v>
      </c>
      <c r="K417" s="17"/>
      <c r="L417" s="17"/>
      <c r="AC417" s="1301"/>
    </row>
    <row r="418">
      <c r="B418" s="17"/>
      <c r="C418" s="17"/>
      <c r="D418" s="17"/>
      <c r="E418" s="343"/>
      <c r="F418" s="17"/>
      <c r="G418" s="17"/>
      <c r="H418" s="17"/>
      <c r="I418" s="17"/>
      <c r="J418" s="17" t="s">
        <v>1026</v>
      </c>
      <c r="K418" s="17"/>
      <c r="L418" s="17"/>
      <c r="AC418" s="1301"/>
    </row>
    <row r="419">
      <c r="B419" s="17"/>
      <c r="C419" s="17"/>
      <c r="D419" s="17"/>
      <c r="E419" s="343"/>
      <c r="F419" s="17"/>
      <c r="G419" s="17"/>
      <c r="H419" s="17"/>
      <c r="I419" s="17"/>
      <c r="J419" s="17" t="s">
        <v>1026</v>
      </c>
      <c r="K419" s="17"/>
      <c r="L419" s="17"/>
      <c r="AC419" s="1301"/>
    </row>
    <row r="420">
      <c r="B420" s="17"/>
      <c r="C420" s="17"/>
      <c r="D420" s="17"/>
      <c r="E420" s="343"/>
      <c r="F420" s="17"/>
      <c r="G420" s="17"/>
      <c r="H420" s="17"/>
      <c r="I420" s="17"/>
      <c r="J420" s="17" t="s">
        <v>1026</v>
      </c>
      <c r="K420" s="17"/>
      <c r="L420" s="17"/>
      <c r="AC420" s="1301"/>
    </row>
    <row r="421">
      <c r="B421" s="17"/>
      <c r="C421" s="17"/>
      <c r="D421" s="17"/>
      <c r="E421" s="343"/>
      <c r="F421" s="17"/>
      <c r="G421" s="17"/>
      <c r="H421" s="17"/>
      <c r="I421" s="17"/>
      <c r="J421" s="17" t="s">
        <v>1026</v>
      </c>
      <c r="K421" s="17"/>
      <c r="L421" s="17"/>
      <c r="AC421" s="1301"/>
    </row>
    <row r="422">
      <c r="B422" s="17"/>
      <c r="C422" s="17"/>
      <c r="D422" s="17"/>
      <c r="E422" s="343"/>
      <c r="F422" s="17"/>
      <c r="G422" s="17"/>
      <c r="H422" s="17"/>
      <c r="I422" s="17"/>
      <c r="J422" s="17" t="s">
        <v>1026</v>
      </c>
      <c r="K422" s="17"/>
      <c r="L422" s="17"/>
      <c r="AC422" s="1301"/>
    </row>
    <row r="423">
      <c r="B423" s="17"/>
      <c r="C423" s="17"/>
      <c r="D423" s="17"/>
      <c r="E423" s="343"/>
      <c r="F423" s="17"/>
      <c r="G423" s="17"/>
      <c r="H423" s="17"/>
      <c r="I423" s="17"/>
      <c r="J423" s="17" t="s">
        <v>1026</v>
      </c>
      <c r="K423" s="17"/>
      <c r="L423" s="17"/>
      <c r="AC423" s="1301"/>
    </row>
    <row r="424">
      <c r="B424" s="17"/>
      <c r="C424" s="17"/>
      <c r="D424" s="17"/>
      <c r="E424" s="343"/>
      <c r="F424" s="17"/>
      <c r="G424" s="17"/>
      <c r="H424" s="17"/>
      <c r="I424" s="17"/>
      <c r="J424" s="17" t="s">
        <v>1026</v>
      </c>
      <c r="K424" s="17"/>
      <c r="L424" s="17"/>
      <c r="AC424" s="1301"/>
    </row>
    <row r="425">
      <c r="B425" s="17"/>
      <c r="C425" s="17"/>
      <c r="D425" s="17"/>
      <c r="E425" s="343"/>
      <c r="F425" s="17"/>
      <c r="G425" s="17"/>
      <c r="H425" s="17"/>
      <c r="I425" s="17"/>
      <c r="J425" s="17" t="s">
        <v>1026</v>
      </c>
      <c r="K425" s="17"/>
      <c r="L425" s="17"/>
      <c r="AC425" s="1301"/>
    </row>
    <row r="426">
      <c r="B426" s="17"/>
      <c r="C426" s="17"/>
      <c r="D426" s="17"/>
      <c r="E426" s="343"/>
      <c r="F426" s="17"/>
      <c r="G426" s="17"/>
      <c r="H426" s="17"/>
      <c r="I426" s="17"/>
      <c r="J426" s="17" t="s">
        <v>1026</v>
      </c>
      <c r="K426" s="17"/>
      <c r="L426" s="17"/>
      <c r="AC426" s="1301"/>
    </row>
    <row r="427">
      <c r="B427" s="17"/>
      <c r="C427" s="17"/>
      <c r="D427" s="17"/>
      <c r="E427" s="343"/>
      <c r="F427" s="17"/>
      <c r="G427" s="17"/>
      <c r="H427" s="17"/>
      <c r="I427" s="17"/>
      <c r="J427" s="17" t="s">
        <v>1026</v>
      </c>
      <c r="K427" s="17"/>
      <c r="L427" s="17"/>
      <c r="AC427" s="1301"/>
    </row>
    <row r="428">
      <c r="B428" s="17"/>
      <c r="C428" s="17"/>
      <c r="D428" s="17"/>
      <c r="E428" s="343"/>
      <c r="F428" s="17"/>
      <c r="G428" s="17"/>
      <c r="H428" s="17"/>
      <c r="I428" s="17"/>
      <c r="J428" s="17" t="s">
        <v>1026</v>
      </c>
      <c r="K428" s="17"/>
      <c r="L428" s="17"/>
      <c r="AC428" s="1301"/>
    </row>
    <row r="429">
      <c r="B429" s="17"/>
      <c r="C429" s="17"/>
      <c r="D429" s="17"/>
      <c r="E429" s="343"/>
      <c r="F429" s="17"/>
      <c r="G429" s="17"/>
      <c r="H429" s="17"/>
      <c r="I429" s="17"/>
      <c r="J429" s="17" t="s">
        <v>1026</v>
      </c>
      <c r="K429" s="17"/>
      <c r="L429" s="17"/>
      <c r="AC429" s="1301"/>
    </row>
    <row r="430">
      <c r="B430" s="17"/>
      <c r="C430" s="17"/>
      <c r="D430" s="17"/>
      <c r="E430" s="343"/>
      <c r="F430" s="17"/>
      <c r="G430" s="17"/>
      <c r="H430" s="17"/>
      <c r="I430" s="17"/>
      <c r="J430" s="17" t="s">
        <v>1026</v>
      </c>
      <c r="K430" s="17"/>
      <c r="L430" s="17"/>
      <c r="AC430" s="1301"/>
    </row>
    <row r="431">
      <c r="B431" s="17"/>
      <c r="C431" s="17"/>
      <c r="D431" s="17"/>
      <c r="E431" s="343"/>
      <c r="F431" s="17"/>
      <c r="G431" s="17"/>
      <c r="H431" s="17"/>
      <c r="I431" s="17"/>
      <c r="J431" s="17" t="s">
        <v>1026</v>
      </c>
      <c r="K431" s="17"/>
      <c r="L431" s="17"/>
      <c r="AC431" s="1301"/>
    </row>
    <row r="432">
      <c r="B432" s="17"/>
      <c r="C432" s="17"/>
      <c r="D432" s="17"/>
      <c r="E432" s="343"/>
      <c r="F432" s="17"/>
      <c r="G432" s="17"/>
      <c r="H432" s="17"/>
      <c r="I432" s="17"/>
      <c r="J432" s="17" t="s">
        <v>1026</v>
      </c>
      <c r="K432" s="17"/>
      <c r="L432" s="17"/>
      <c r="AC432" s="1301"/>
    </row>
    <row r="433">
      <c r="B433" s="17"/>
      <c r="C433" s="17"/>
      <c r="D433" s="17"/>
      <c r="E433" s="343"/>
      <c r="F433" s="17"/>
      <c r="G433" s="17"/>
      <c r="H433" s="17"/>
      <c r="I433" s="17"/>
      <c r="J433" s="17" t="s">
        <v>1026</v>
      </c>
      <c r="K433" s="17"/>
      <c r="L433" s="17"/>
      <c r="AC433" s="1301"/>
    </row>
    <row r="434">
      <c r="B434" s="17"/>
      <c r="C434" s="17"/>
      <c r="D434" s="17"/>
      <c r="E434" s="343"/>
      <c r="F434" s="17"/>
      <c r="G434" s="17"/>
      <c r="H434" s="17"/>
      <c r="I434" s="17"/>
      <c r="J434" s="17" t="s">
        <v>1026</v>
      </c>
      <c r="K434" s="17"/>
      <c r="L434" s="17"/>
      <c r="AC434" s="1301"/>
    </row>
    <row r="435">
      <c r="B435" s="17"/>
      <c r="C435" s="17"/>
      <c r="D435" s="17"/>
      <c r="E435" s="343"/>
      <c r="F435" s="17"/>
      <c r="G435" s="17"/>
      <c r="H435" s="17"/>
      <c r="I435" s="17"/>
      <c r="J435" s="17" t="s">
        <v>1026</v>
      </c>
      <c r="K435" s="17"/>
      <c r="L435" s="17"/>
      <c r="AC435" s="1301"/>
    </row>
    <row r="436">
      <c r="B436" s="17"/>
      <c r="C436" s="17"/>
      <c r="D436" s="17"/>
      <c r="E436" s="343"/>
      <c r="F436" s="17"/>
      <c r="G436" s="17"/>
      <c r="H436" s="17"/>
      <c r="I436" s="17"/>
      <c r="J436" s="17" t="s">
        <v>1026</v>
      </c>
      <c r="K436" s="17"/>
      <c r="L436" s="17"/>
      <c r="AC436" s="1301"/>
    </row>
    <row r="437">
      <c r="B437" s="17"/>
      <c r="C437" s="17"/>
      <c r="D437" s="17"/>
      <c r="E437" s="343"/>
      <c r="F437" s="17"/>
      <c r="G437" s="17"/>
      <c r="H437" s="17"/>
      <c r="I437" s="17"/>
      <c r="J437" s="17" t="s">
        <v>1026</v>
      </c>
      <c r="K437" s="17"/>
      <c r="L437" s="17"/>
      <c r="AC437" s="1301"/>
    </row>
    <row r="438">
      <c r="B438" s="17"/>
      <c r="C438" s="17"/>
      <c r="D438" s="17"/>
      <c r="E438" s="343"/>
      <c r="F438" s="17"/>
      <c r="G438" s="17"/>
      <c r="H438" s="17"/>
      <c r="I438" s="17"/>
      <c r="J438" s="17" t="s">
        <v>1026</v>
      </c>
      <c r="K438" s="17"/>
      <c r="L438" s="17"/>
      <c r="AC438" s="1301"/>
    </row>
    <row r="439">
      <c r="B439" s="17"/>
      <c r="C439" s="17"/>
      <c r="D439" s="17"/>
      <c r="E439" s="343"/>
      <c r="F439" s="17"/>
      <c r="G439" s="17"/>
      <c r="H439" s="17"/>
      <c r="I439" s="17"/>
      <c r="J439" s="17" t="s">
        <v>1026</v>
      </c>
      <c r="K439" s="17"/>
      <c r="L439" s="17"/>
      <c r="AC439" s="1301"/>
    </row>
    <row r="440">
      <c r="B440" s="17"/>
      <c r="C440" s="17"/>
      <c r="D440" s="17"/>
      <c r="E440" s="343"/>
      <c r="F440" s="17"/>
      <c r="G440" s="17"/>
      <c r="H440" s="17"/>
      <c r="I440" s="17"/>
      <c r="J440" s="17" t="s">
        <v>1026</v>
      </c>
      <c r="K440" s="17"/>
      <c r="L440" s="17"/>
      <c r="AC440" s="1301"/>
    </row>
    <row r="441">
      <c r="B441" s="17"/>
      <c r="C441" s="17"/>
      <c r="D441" s="17"/>
      <c r="E441" s="343"/>
      <c r="F441" s="17"/>
      <c r="G441" s="17"/>
      <c r="H441" s="17"/>
      <c r="I441" s="17"/>
      <c r="J441" s="17" t="s">
        <v>1026</v>
      </c>
      <c r="K441" s="17"/>
      <c r="L441" s="17"/>
      <c r="AC441" s="1301"/>
    </row>
    <row r="442">
      <c r="B442" s="17"/>
      <c r="C442" s="17"/>
      <c r="D442" s="17"/>
      <c r="E442" s="343"/>
      <c r="F442" s="17"/>
      <c r="G442" s="17"/>
      <c r="H442" s="17"/>
      <c r="I442" s="17"/>
      <c r="J442" s="17" t="s">
        <v>1026</v>
      </c>
      <c r="K442" s="17"/>
      <c r="L442" s="17"/>
      <c r="AC442" s="1301"/>
    </row>
    <row r="443">
      <c r="B443" s="17"/>
      <c r="C443" s="17"/>
      <c r="D443" s="17"/>
      <c r="E443" s="343"/>
      <c r="F443" s="17"/>
      <c r="G443" s="17"/>
      <c r="H443" s="17"/>
      <c r="I443" s="17"/>
      <c r="J443" s="17" t="s">
        <v>1026</v>
      </c>
      <c r="K443" s="17"/>
      <c r="L443" s="17"/>
      <c r="AC443" s="1301"/>
    </row>
    <row r="444">
      <c r="B444" s="17"/>
      <c r="C444" s="17"/>
      <c r="D444" s="17"/>
      <c r="E444" s="343"/>
      <c r="F444" s="17"/>
      <c r="G444" s="17"/>
      <c r="H444" s="17"/>
      <c r="I444" s="17"/>
      <c r="J444" s="17" t="s">
        <v>1026</v>
      </c>
      <c r="K444" s="17"/>
      <c r="L444" s="17"/>
      <c r="AC444" s="1301"/>
    </row>
    <row r="445">
      <c r="B445" s="17"/>
      <c r="C445" s="17"/>
      <c r="D445" s="17"/>
      <c r="E445" s="343"/>
      <c r="F445" s="17"/>
      <c r="G445" s="17"/>
      <c r="H445" s="17"/>
      <c r="I445" s="17"/>
      <c r="J445" s="17" t="s">
        <v>1026</v>
      </c>
      <c r="K445" s="17"/>
      <c r="L445" s="17"/>
      <c r="AC445" s="1301"/>
    </row>
    <row r="446">
      <c r="B446" s="17"/>
      <c r="C446" s="17"/>
      <c r="D446" s="17"/>
      <c r="E446" s="343"/>
      <c r="F446" s="17"/>
      <c r="G446" s="17"/>
      <c r="H446" s="17"/>
      <c r="I446" s="17"/>
      <c r="J446" s="17" t="s">
        <v>1026</v>
      </c>
      <c r="K446" s="17"/>
      <c r="L446" s="17"/>
      <c r="AC446" s="1301"/>
    </row>
    <row r="447">
      <c r="B447" s="17"/>
      <c r="C447" s="17"/>
      <c r="D447" s="17"/>
      <c r="E447" s="343"/>
      <c r="F447" s="17"/>
      <c r="G447" s="17"/>
      <c r="H447" s="17"/>
      <c r="I447" s="17"/>
      <c r="J447" s="17" t="s">
        <v>1026</v>
      </c>
      <c r="K447" s="17"/>
      <c r="L447" s="17"/>
      <c r="AC447" s="1301"/>
    </row>
    <row r="448">
      <c r="B448" s="17"/>
      <c r="C448" s="17"/>
      <c r="D448" s="17"/>
      <c r="E448" s="343"/>
      <c r="F448" s="17"/>
      <c r="G448" s="17"/>
      <c r="H448" s="17"/>
      <c r="I448" s="17"/>
      <c r="J448" s="17" t="s">
        <v>1026</v>
      </c>
      <c r="K448" s="17"/>
      <c r="L448" s="17"/>
      <c r="AC448" s="1301"/>
    </row>
    <row r="449">
      <c r="B449" s="17"/>
      <c r="C449" s="17"/>
      <c r="D449" s="17"/>
      <c r="E449" s="343"/>
      <c r="F449" s="17"/>
      <c r="G449" s="17"/>
      <c r="H449" s="17"/>
      <c r="I449" s="17"/>
      <c r="J449" s="17" t="s">
        <v>1026</v>
      </c>
      <c r="K449" s="17"/>
      <c r="L449" s="17"/>
      <c r="AC449" s="1301"/>
    </row>
    <row r="450">
      <c r="B450" s="17"/>
      <c r="C450" s="17"/>
      <c r="D450" s="17"/>
      <c r="E450" s="343"/>
      <c r="F450" s="17"/>
      <c r="G450" s="17"/>
      <c r="H450" s="17"/>
      <c r="I450" s="17"/>
      <c r="J450" s="17" t="s">
        <v>1026</v>
      </c>
      <c r="K450" s="17"/>
      <c r="L450" s="17"/>
      <c r="AC450" s="1301"/>
    </row>
    <row r="451">
      <c r="B451" s="17"/>
      <c r="C451" s="17"/>
      <c r="D451" s="17"/>
      <c r="E451" s="343"/>
      <c r="F451" s="17"/>
      <c r="G451" s="17"/>
      <c r="H451" s="17"/>
      <c r="I451" s="17"/>
      <c r="J451" s="17" t="s">
        <v>1026</v>
      </c>
      <c r="K451" s="17"/>
      <c r="L451" s="17"/>
      <c r="AC451" s="1301"/>
    </row>
    <row r="452">
      <c r="B452" s="17"/>
      <c r="C452" s="17"/>
      <c r="D452" s="17"/>
      <c r="E452" s="343"/>
      <c r="F452" s="17"/>
      <c r="G452" s="17"/>
      <c r="H452" s="17"/>
      <c r="I452" s="17"/>
      <c r="J452" s="17" t="s">
        <v>1026</v>
      </c>
      <c r="K452" s="17"/>
      <c r="L452" s="17"/>
      <c r="AC452" s="1301"/>
    </row>
    <row r="453">
      <c r="B453" s="17"/>
      <c r="C453" s="17"/>
      <c r="D453" s="17"/>
      <c r="E453" s="343"/>
      <c r="F453" s="17"/>
      <c r="G453" s="17"/>
      <c r="H453" s="17"/>
      <c r="I453" s="17"/>
      <c r="J453" s="17" t="s">
        <v>1026</v>
      </c>
      <c r="K453" s="17"/>
      <c r="L453" s="17"/>
      <c r="AC453" s="1301"/>
    </row>
    <row r="454">
      <c r="B454" s="17"/>
      <c r="C454" s="17"/>
      <c r="D454" s="17"/>
      <c r="E454" s="343"/>
      <c r="F454" s="17"/>
      <c r="G454" s="17"/>
      <c r="H454" s="17"/>
      <c r="I454" s="17"/>
      <c r="J454" s="17" t="s">
        <v>1026</v>
      </c>
      <c r="K454" s="17"/>
      <c r="L454" s="17"/>
      <c r="AC454" s="1301"/>
    </row>
    <row r="455">
      <c r="B455" s="17"/>
      <c r="C455" s="17"/>
      <c r="D455" s="17"/>
      <c r="E455" s="343"/>
      <c r="F455" s="17"/>
      <c r="G455" s="17"/>
      <c r="H455" s="17"/>
      <c r="I455" s="17"/>
      <c r="J455" s="17" t="s">
        <v>1026</v>
      </c>
      <c r="K455" s="17"/>
      <c r="L455" s="17"/>
      <c r="AC455" s="1301"/>
    </row>
    <row r="456">
      <c r="B456" s="17"/>
      <c r="C456" s="17"/>
      <c r="D456" s="17"/>
      <c r="E456" s="343"/>
      <c r="F456" s="17"/>
      <c r="G456" s="17"/>
      <c r="H456" s="17"/>
      <c r="I456" s="17"/>
      <c r="J456" s="17" t="s">
        <v>1026</v>
      </c>
      <c r="K456" s="17"/>
      <c r="L456" s="17"/>
      <c r="AC456" s="1301"/>
    </row>
    <row r="457">
      <c r="B457" s="17"/>
      <c r="C457" s="17"/>
      <c r="D457" s="17"/>
      <c r="E457" s="343"/>
      <c r="F457" s="17"/>
      <c r="G457" s="17"/>
      <c r="H457" s="17"/>
      <c r="I457" s="17"/>
      <c r="J457" s="17" t="s">
        <v>1026</v>
      </c>
      <c r="K457" s="17"/>
      <c r="L457" s="17"/>
      <c r="AC457" s="1301"/>
    </row>
    <row r="458">
      <c r="B458" s="17"/>
      <c r="C458" s="17"/>
      <c r="D458" s="17"/>
      <c r="E458" s="343"/>
      <c r="F458" s="17"/>
      <c r="G458" s="17"/>
      <c r="H458" s="17"/>
      <c r="I458" s="17"/>
      <c r="J458" s="17" t="s">
        <v>1026</v>
      </c>
      <c r="K458" s="17"/>
      <c r="L458" s="17"/>
      <c r="AC458" s="1301"/>
    </row>
    <row r="459">
      <c r="B459" s="17"/>
      <c r="C459" s="17"/>
      <c r="D459" s="17"/>
      <c r="E459" s="343"/>
      <c r="F459" s="17"/>
      <c r="G459" s="17"/>
      <c r="H459" s="17"/>
      <c r="I459" s="17"/>
      <c r="J459" s="17" t="s">
        <v>1026</v>
      </c>
      <c r="K459" s="17"/>
      <c r="L459" s="17"/>
      <c r="AC459" s="1301"/>
    </row>
    <row r="460">
      <c r="B460" s="17"/>
      <c r="C460" s="17"/>
      <c r="D460" s="17"/>
      <c r="E460" s="343"/>
      <c r="F460" s="17"/>
      <c r="G460" s="17"/>
      <c r="H460" s="17"/>
      <c r="I460" s="17"/>
      <c r="J460" s="17" t="s">
        <v>1026</v>
      </c>
      <c r="K460" s="17"/>
      <c r="L460" s="17"/>
      <c r="AC460" s="1301"/>
    </row>
    <row r="461">
      <c r="B461" s="17"/>
      <c r="C461" s="17"/>
      <c r="D461" s="17"/>
      <c r="E461" s="343"/>
      <c r="F461" s="17"/>
      <c r="G461" s="17"/>
      <c r="H461" s="17"/>
      <c r="I461" s="17"/>
      <c r="J461" s="17" t="s">
        <v>1026</v>
      </c>
      <c r="K461" s="17"/>
      <c r="L461" s="17"/>
      <c r="AC461" s="1301"/>
    </row>
    <row r="462">
      <c r="B462" s="17"/>
      <c r="C462" s="17"/>
      <c r="D462" s="17"/>
      <c r="E462" s="343"/>
      <c r="F462" s="17"/>
      <c r="G462" s="17"/>
      <c r="H462" s="17"/>
      <c r="I462" s="17"/>
      <c r="J462" s="17" t="s">
        <v>1026</v>
      </c>
      <c r="K462" s="17"/>
      <c r="L462" s="17"/>
      <c r="AC462" s="1301"/>
    </row>
    <row r="463">
      <c r="B463" s="17"/>
      <c r="C463" s="17"/>
      <c r="D463" s="17"/>
      <c r="E463" s="343"/>
      <c r="F463" s="17"/>
      <c r="G463" s="17"/>
      <c r="H463" s="17"/>
      <c r="I463" s="17"/>
      <c r="J463" s="17" t="s">
        <v>1026</v>
      </c>
      <c r="K463" s="17"/>
      <c r="L463" s="17"/>
      <c r="AC463" s="1301"/>
    </row>
    <row r="464">
      <c r="B464" s="17"/>
      <c r="C464" s="17"/>
      <c r="D464" s="17"/>
      <c r="E464" s="343"/>
      <c r="F464" s="17"/>
      <c r="G464" s="17"/>
      <c r="H464" s="17"/>
      <c r="I464" s="17"/>
      <c r="J464" s="17" t="s">
        <v>1026</v>
      </c>
      <c r="K464" s="17"/>
      <c r="L464" s="17"/>
      <c r="AC464" s="1301"/>
    </row>
    <row r="465">
      <c r="B465" s="17"/>
      <c r="C465" s="17"/>
      <c r="D465" s="17"/>
      <c r="E465" s="343"/>
      <c r="F465" s="17"/>
      <c r="G465" s="17"/>
      <c r="H465" s="17"/>
      <c r="I465" s="17"/>
      <c r="J465" s="17" t="s">
        <v>1026</v>
      </c>
      <c r="K465" s="17"/>
      <c r="L465" s="17"/>
      <c r="AC465" s="1301"/>
    </row>
    <row r="466">
      <c r="B466" s="17"/>
      <c r="C466" s="17"/>
      <c r="D466" s="17"/>
      <c r="E466" s="343"/>
      <c r="F466" s="17"/>
      <c r="G466" s="17"/>
      <c r="H466" s="17"/>
      <c r="I466" s="17"/>
      <c r="J466" s="17" t="s">
        <v>1026</v>
      </c>
      <c r="K466" s="17"/>
      <c r="L466" s="17"/>
      <c r="AC466" s="1301"/>
    </row>
    <row r="467">
      <c r="B467" s="17"/>
      <c r="C467" s="17"/>
      <c r="D467" s="17"/>
      <c r="E467" s="343"/>
      <c r="F467" s="17"/>
      <c r="G467" s="17"/>
      <c r="H467" s="17"/>
      <c r="I467" s="17"/>
      <c r="J467" s="17" t="s">
        <v>1026</v>
      </c>
      <c r="K467" s="17"/>
      <c r="L467" s="17"/>
      <c r="AC467" s="1301"/>
    </row>
    <row r="468">
      <c r="B468" s="17"/>
      <c r="C468" s="17"/>
      <c r="D468" s="17"/>
      <c r="E468" s="343"/>
      <c r="F468" s="17"/>
      <c r="G468" s="17"/>
      <c r="H468" s="17"/>
      <c r="I468" s="17"/>
      <c r="J468" s="17" t="s">
        <v>1026</v>
      </c>
      <c r="K468" s="17"/>
      <c r="L468" s="17"/>
      <c r="AC468" s="1301"/>
    </row>
    <row r="469">
      <c r="B469" s="17"/>
      <c r="C469" s="17"/>
      <c r="D469" s="17"/>
      <c r="E469" s="343"/>
      <c r="F469" s="17"/>
      <c r="G469" s="17"/>
      <c r="H469" s="17"/>
      <c r="I469" s="17"/>
      <c r="J469" s="17" t="s">
        <v>1026</v>
      </c>
      <c r="K469" s="17"/>
      <c r="L469" s="17"/>
      <c r="AC469" s="1301"/>
    </row>
    <row r="470">
      <c r="B470" s="17"/>
      <c r="C470" s="17"/>
      <c r="D470" s="17"/>
      <c r="E470" s="343"/>
      <c r="F470" s="17"/>
      <c r="G470" s="17"/>
      <c r="H470" s="17"/>
      <c r="I470" s="17"/>
      <c r="J470" s="17" t="s">
        <v>1026</v>
      </c>
      <c r="K470" s="17"/>
      <c r="L470" s="17"/>
      <c r="AC470" s="1301"/>
    </row>
    <row r="471">
      <c r="B471" s="17"/>
      <c r="C471" s="17"/>
      <c r="D471" s="17"/>
      <c r="E471" s="343"/>
      <c r="F471" s="17"/>
      <c r="G471" s="17"/>
      <c r="H471" s="17"/>
      <c r="I471" s="17"/>
      <c r="J471" s="17" t="s">
        <v>1026</v>
      </c>
      <c r="K471" s="17"/>
      <c r="L471" s="17"/>
      <c r="AC471" s="1301"/>
    </row>
    <row r="472">
      <c r="B472" s="17"/>
      <c r="C472" s="17"/>
      <c r="D472" s="17"/>
      <c r="E472" s="343"/>
      <c r="F472" s="17"/>
      <c r="G472" s="17"/>
      <c r="H472" s="17"/>
      <c r="I472" s="17"/>
      <c r="J472" s="17" t="s">
        <v>1026</v>
      </c>
      <c r="K472" s="17"/>
      <c r="L472" s="17"/>
      <c r="AC472" s="1301"/>
    </row>
    <row r="473">
      <c r="B473" s="17"/>
      <c r="C473" s="17"/>
      <c r="D473" s="17"/>
      <c r="E473" s="343"/>
      <c r="F473" s="17"/>
      <c r="G473" s="17"/>
      <c r="H473" s="17"/>
      <c r="I473" s="17"/>
      <c r="J473" s="17" t="s">
        <v>1026</v>
      </c>
      <c r="K473" s="17"/>
      <c r="L473" s="17"/>
      <c r="AC473" s="1301"/>
    </row>
    <row r="474">
      <c r="B474" s="17"/>
      <c r="C474" s="17"/>
      <c r="D474" s="17"/>
      <c r="E474" s="343"/>
      <c r="F474" s="17"/>
      <c r="G474" s="17"/>
      <c r="H474" s="17"/>
      <c r="I474" s="17"/>
      <c r="J474" s="17" t="s">
        <v>1026</v>
      </c>
      <c r="K474" s="17"/>
      <c r="L474" s="17"/>
      <c r="AC474" s="1301"/>
    </row>
    <row r="475">
      <c r="B475" s="17"/>
      <c r="C475" s="17"/>
      <c r="D475" s="17"/>
      <c r="E475" s="343"/>
      <c r="F475" s="17"/>
      <c r="G475" s="17"/>
      <c r="H475" s="17"/>
      <c r="I475" s="17"/>
      <c r="J475" s="17" t="s">
        <v>1026</v>
      </c>
      <c r="K475" s="17"/>
      <c r="L475" s="17"/>
      <c r="AC475" s="1301"/>
    </row>
    <row r="476">
      <c r="B476" s="17"/>
      <c r="C476" s="17"/>
      <c r="D476" s="17"/>
      <c r="E476" s="343"/>
      <c r="F476" s="17"/>
      <c r="G476" s="17"/>
      <c r="H476" s="17"/>
      <c r="I476" s="17"/>
      <c r="J476" s="17" t="s">
        <v>1026</v>
      </c>
      <c r="K476" s="17"/>
      <c r="L476" s="17"/>
      <c r="AC476" s="1301"/>
    </row>
    <row r="477">
      <c r="B477" s="17"/>
      <c r="C477" s="17"/>
      <c r="D477" s="17"/>
      <c r="E477" s="343"/>
      <c r="F477" s="17"/>
      <c r="G477" s="17"/>
      <c r="H477" s="17"/>
      <c r="I477" s="17"/>
      <c r="J477" s="17" t="s">
        <v>1026</v>
      </c>
      <c r="K477" s="17"/>
      <c r="L477" s="17"/>
      <c r="AC477" s="1301"/>
    </row>
    <row r="478">
      <c r="B478" s="17"/>
      <c r="C478" s="17"/>
      <c r="D478" s="17"/>
      <c r="E478" s="343"/>
      <c r="F478" s="17"/>
      <c r="G478" s="17"/>
      <c r="H478" s="17"/>
      <c r="I478" s="17"/>
      <c r="J478" s="17" t="s">
        <v>1026</v>
      </c>
      <c r="K478" s="17"/>
      <c r="L478" s="17"/>
      <c r="AC478" s="1301"/>
    </row>
    <row r="479">
      <c r="B479" s="17"/>
      <c r="C479" s="17"/>
      <c r="D479" s="17"/>
      <c r="E479" s="343"/>
      <c r="F479" s="17"/>
      <c r="G479" s="17"/>
      <c r="H479" s="17"/>
      <c r="I479" s="17"/>
      <c r="J479" s="17" t="s">
        <v>1026</v>
      </c>
      <c r="K479" s="17"/>
      <c r="L479" s="17"/>
      <c r="AC479" s="1301"/>
    </row>
    <row r="480">
      <c r="B480" s="17"/>
      <c r="C480" s="17"/>
      <c r="D480" s="17"/>
      <c r="E480" s="343"/>
      <c r="F480" s="17"/>
      <c r="G480" s="17"/>
      <c r="H480" s="17"/>
      <c r="I480" s="17"/>
      <c r="J480" s="17" t="s">
        <v>1026</v>
      </c>
      <c r="K480" s="17"/>
      <c r="L480" s="17"/>
      <c r="AC480" s="1301"/>
    </row>
    <row r="481">
      <c r="B481" s="17"/>
      <c r="C481" s="17"/>
      <c r="D481" s="17"/>
      <c r="E481" s="343"/>
      <c r="F481" s="17"/>
      <c r="G481" s="17"/>
      <c r="H481" s="17"/>
      <c r="I481" s="17"/>
      <c r="J481" s="17" t="s">
        <v>1026</v>
      </c>
      <c r="K481" s="17"/>
      <c r="L481" s="17"/>
      <c r="AC481" s="1301"/>
    </row>
    <row r="482">
      <c r="B482" s="17"/>
      <c r="C482" s="17"/>
      <c r="D482" s="17"/>
      <c r="E482" s="343"/>
      <c r="F482" s="17"/>
      <c r="G482" s="17"/>
      <c r="H482" s="17"/>
      <c r="I482" s="17"/>
      <c r="J482" s="17" t="s">
        <v>1026</v>
      </c>
      <c r="K482" s="17"/>
      <c r="L482" s="17"/>
      <c r="AC482" s="1301"/>
    </row>
    <row r="483">
      <c r="B483" s="17"/>
      <c r="C483" s="17"/>
      <c r="D483" s="17"/>
      <c r="E483" s="343"/>
      <c r="F483" s="17"/>
      <c r="G483" s="17"/>
      <c r="H483" s="17"/>
      <c r="I483" s="17"/>
      <c r="J483" s="17" t="s">
        <v>1026</v>
      </c>
      <c r="K483" s="17"/>
      <c r="L483" s="17"/>
      <c r="AC483" s="1301"/>
    </row>
    <row r="484">
      <c r="B484" s="17"/>
      <c r="C484" s="17"/>
      <c r="D484" s="17"/>
      <c r="E484" s="343"/>
      <c r="F484" s="17"/>
      <c r="G484" s="17"/>
      <c r="H484" s="17"/>
      <c r="I484" s="17"/>
      <c r="J484" s="17" t="s">
        <v>1026</v>
      </c>
      <c r="K484" s="17"/>
      <c r="L484" s="17"/>
      <c r="AC484" s="1301"/>
    </row>
    <row r="485">
      <c r="B485" s="17"/>
      <c r="C485" s="17"/>
      <c r="D485" s="17"/>
      <c r="E485" s="343"/>
      <c r="F485" s="17"/>
      <c r="G485" s="17"/>
      <c r="H485" s="17"/>
      <c r="I485" s="17"/>
      <c r="J485" s="17" t="s">
        <v>1026</v>
      </c>
      <c r="K485" s="17"/>
      <c r="L485" s="17"/>
      <c r="AC485" s="1301"/>
    </row>
    <row r="486">
      <c r="B486" s="17"/>
      <c r="C486" s="17"/>
      <c r="D486" s="17"/>
      <c r="E486" s="343"/>
      <c r="F486" s="17"/>
      <c r="G486" s="17"/>
      <c r="H486" s="17"/>
      <c r="I486" s="17"/>
      <c r="J486" s="17" t="s">
        <v>1026</v>
      </c>
      <c r="K486" s="17"/>
      <c r="L486" s="17"/>
      <c r="AC486" s="1301"/>
    </row>
    <row r="487">
      <c r="B487" s="17"/>
      <c r="C487" s="17"/>
      <c r="D487" s="17"/>
      <c r="E487" s="343"/>
      <c r="F487" s="17"/>
      <c r="G487" s="17"/>
      <c r="H487" s="17"/>
      <c r="I487" s="17"/>
      <c r="J487" s="17" t="s">
        <v>1026</v>
      </c>
      <c r="K487" s="17"/>
      <c r="L487" s="17"/>
      <c r="AC487" s="1301"/>
    </row>
    <row r="488">
      <c r="B488" s="17"/>
      <c r="C488" s="17"/>
      <c r="D488" s="17"/>
      <c r="E488" s="343"/>
      <c r="F488" s="17"/>
      <c r="G488" s="17"/>
      <c r="H488" s="17"/>
      <c r="I488" s="17"/>
      <c r="J488" s="17" t="s">
        <v>1026</v>
      </c>
      <c r="K488" s="17"/>
      <c r="L488" s="17"/>
      <c r="AC488" s="1301"/>
    </row>
    <row r="489">
      <c r="B489" s="17"/>
      <c r="C489" s="17"/>
      <c r="D489" s="17"/>
      <c r="E489" s="343"/>
      <c r="F489" s="17"/>
      <c r="G489" s="17"/>
      <c r="H489" s="17"/>
      <c r="I489" s="17"/>
      <c r="J489" s="17" t="s">
        <v>1026</v>
      </c>
      <c r="K489" s="17"/>
      <c r="L489" s="17"/>
      <c r="AC489" s="1301"/>
    </row>
    <row r="490">
      <c r="B490" s="17"/>
      <c r="C490" s="17"/>
      <c r="D490" s="17"/>
      <c r="E490" s="343"/>
      <c r="F490" s="17"/>
      <c r="G490" s="17"/>
      <c r="H490" s="17"/>
      <c r="I490" s="17"/>
      <c r="J490" s="17" t="s">
        <v>1026</v>
      </c>
      <c r="K490" s="17"/>
      <c r="L490" s="17"/>
      <c r="AC490" s="1301"/>
    </row>
    <row r="491">
      <c r="B491" s="17"/>
      <c r="C491" s="17"/>
      <c r="D491" s="17"/>
      <c r="E491" s="343"/>
      <c r="F491" s="17"/>
      <c r="G491" s="17"/>
      <c r="H491" s="17"/>
      <c r="I491" s="17"/>
      <c r="J491" s="17" t="s">
        <v>1026</v>
      </c>
      <c r="K491" s="17"/>
      <c r="L491" s="17"/>
      <c r="AC491" s="1301"/>
    </row>
    <row r="492">
      <c r="B492" s="17"/>
      <c r="C492" s="17"/>
      <c r="D492" s="17"/>
      <c r="E492" s="343"/>
      <c r="F492" s="17"/>
      <c r="G492" s="17"/>
      <c r="H492" s="17"/>
      <c r="I492" s="17"/>
      <c r="J492" s="17" t="s">
        <v>1026</v>
      </c>
      <c r="K492" s="17"/>
      <c r="L492" s="17"/>
      <c r="AC492" s="1301"/>
    </row>
    <row r="493">
      <c r="B493" s="17"/>
      <c r="C493" s="17"/>
      <c r="D493" s="17"/>
      <c r="E493" s="343"/>
      <c r="F493" s="17"/>
      <c r="G493" s="17"/>
      <c r="H493" s="17"/>
      <c r="I493" s="17"/>
      <c r="J493" s="17" t="s">
        <v>1026</v>
      </c>
      <c r="K493" s="17"/>
      <c r="L493" s="17"/>
      <c r="AC493" s="1301"/>
    </row>
    <row r="494">
      <c r="B494" s="17"/>
      <c r="C494" s="17"/>
      <c r="D494" s="17"/>
      <c r="E494" s="343"/>
      <c r="F494" s="17"/>
      <c r="G494" s="17"/>
      <c r="H494" s="17"/>
      <c r="I494" s="17"/>
      <c r="J494" s="17" t="s">
        <v>1026</v>
      </c>
      <c r="K494" s="17"/>
      <c r="L494" s="17"/>
      <c r="AC494" s="1301"/>
    </row>
    <row r="495">
      <c r="B495" s="17"/>
      <c r="C495" s="17"/>
      <c r="D495" s="17"/>
      <c r="E495" s="343"/>
      <c r="F495" s="17"/>
      <c r="G495" s="17"/>
      <c r="H495" s="17"/>
      <c r="I495" s="17"/>
      <c r="J495" s="17" t="s">
        <v>1026</v>
      </c>
      <c r="K495" s="17"/>
      <c r="L495" s="17"/>
      <c r="AC495" s="1301"/>
    </row>
    <row r="496">
      <c r="B496" s="17"/>
      <c r="C496" s="17"/>
      <c r="D496" s="17"/>
      <c r="E496" s="343"/>
      <c r="F496" s="17"/>
      <c r="G496" s="17"/>
      <c r="H496" s="17"/>
      <c r="I496" s="17"/>
      <c r="J496" s="17" t="s">
        <v>1026</v>
      </c>
      <c r="K496" s="17"/>
      <c r="L496" s="17"/>
      <c r="AC496" s="1301"/>
    </row>
    <row r="497">
      <c r="B497" s="17"/>
      <c r="C497" s="17"/>
      <c r="D497" s="17"/>
      <c r="E497" s="343"/>
      <c r="F497" s="17"/>
      <c r="G497" s="17"/>
      <c r="H497" s="17"/>
      <c r="I497" s="17"/>
      <c r="J497" s="17" t="s">
        <v>1026</v>
      </c>
      <c r="K497" s="17"/>
      <c r="L497" s="17"/>
      <c r="AC497" s="1301"/>
    </row>
    <row r="498">
      <c r="B498" s="17"/>
      <c r="C498" s="17"/>
      <c r="D498" s="17"/>
      <c r="E498" s="343"/>
      <c r="F498" s="17"/>
      <c r="G498" s="17"/>
      <c r="H498" s="17"/>
      <c r="I498" s="17"/>
      <c r="J498" s="17" t="s">
        <v>1026</v>
      </c>
      <c r="K498" s="17"/>
      <c r="L498" s="17"/>
      <c r="AC498" s="1301"/>
    </row>
    <row r="499">
      <c r="B499" s="17"/>
      <c r="C499" s="17"/>
      <c r="D499" s="17"/>
      <c r="E499" s="343"/>
      <c r="F499" s="17"/>
      <c r="G499" s="17"/>
      <c r="H499" s="17"/>
      <c r="I499" s="17"/>
      <c r="J499" s="17" t="s">
        <v>1026</v>
      </c>
      <c r="K499" s="17"/>
      <c r="L499" s="17"/>
      <c r="AC499" s="1301"/>
    </row>
    <row r="500">
      <c r="B500" s="17"/>
      <c r="C500" s="17"/>
      <c r="D500" s="17"/>
      <c r="E500" s="343"/>
      <c r="F500" s="17"/>
      <c r="G500" s="17"/>
      <c r="H500" s="17"/>
      <c r="I500" s="17"/>
      <c r="J500" s="17" t="s">
        <v>1026</v>
      </c>
      <c r="K500" s="17"/>
      <c r="L500" s="17"/>
      <c r="AC500" s="1301"/>
    </row>
    <row r="501">
      <c r="B501" s="17"/>
      <c r="C501" s="17"/>
      <c r="D501" s="17"/>
      <c r="E501" s="343"/>
      <c r="F501" s="17"/>
      <c r="G501" s="17"/>
      <c r="H501" s="17"/>
      <c r="I501" s="17"/>
      <c r="J501" s="17" t="s">
        <v>1026</v>
      </c>
      <c r="K501" s="17"/>
      <c r="L501" s="17"/>
      <c r="AC501" s="1301"/>
    </row>
    <row r="502">
      <c r="B502" s="17"/>
      <c r="C502" s="17"/>
      <c r="D502" s="17"/>
      <c r="E502" s="343"/>
      <c r="F502" s="17"/>
      <c r="G502" s="17"/>
      <c r="H502" s="17"/>
      <c r="I502" s="17"/>
      <c r="J502" s="17" t="s">
        <v>1026</v>
      </c>
      <c r="K502" s="17"/>
      <c r="L502" s="17"/>
      <c r="AC502" s="1301"/>
    </row>
    <row r="503">
      <c r="B503" s="17"/>
      <c r="C503" s="17"/>
      <c r="D503" s="17"/>
      <c r="E503" s="343"/>
      <c r="F503" s="17"/>
      <c r="G503" s="17"/>
      <c r="H503" s="17"/>
      <c r="I503" s="17"/>
      <c r="J503" s="17" t="s">
        <v>1026</v>
      </c>
      <c r="K503" s="17"/>
      <c r="L503" s="17"/>
      <c r="AC503" s="1301"/>
    </row>
    <row r="504">
      <c r="B504" s="17"/>
      <c r="C504" s="17"/>
      <c r="D504" s="17"/>
      <c r="E504" s="343"/>
      <c r="F504" s="17"/>
      <c r="G504" s="17"/>
      <c r="H504" s="17"/>
      <c r="I504" s="17"/>
      <c r="J504" s="17" t="s">
        <v>1026</v>
      </c>
      <c r="K504" s="17"/>
      <c r="L504" s="17"/>
      <c r="AC504" s="1301"/>
    </row>
    <row r="505">
      <c r="B505" s="17"/>
      <c r="C505" s="17"/>
      <c r="D505" s="17"/>
      <c r="E505" s="343"/>
      <c r="F505" s="17"/>
      <c r="G505" s="17"/>
      <c r="H505" s="17"/>
      <c r="I505" s="17"/>
      <c r="J505" s="17" t="s">
        <v>1026</v>
      </c>
      <c r="K505" s="17"/>
      <c r="L505" s="17"/>
      <c r="AC505" s="1301"/>
    </row>
    <row r="506">
      <c r="B506" s="17"/>
      <c r="C506" s="17"/>
      <c r="D506" s="17"/>
      <c r="E506" s="343"/>
      <c r="F506" s="17"/>
      <c r="G506" s="17"/>
      <c r="H506" s="17"/>
      <c r="I506" s="17"/>
      <c r="J506" s="17" t="s">
        <v>1026</v>
      </c>
      <c r="K506" s="17"/>
      <c r="L506" s="17"/>
      <c r="AC506" s="1301"/>
    </row>
    <row r="507">
      <c r="B507" s="17"/>
      <c r="C507" s="17"/>
      <c r="D507" s="17"/>
      <c r="E507" s="343"/>
      <c r="F507" s="17"/>
      <c r="G507" s="17"/>
      <c r="H507" s="17"/>
      <c r="I507" s="17"/>
      <c r="J507" s="17" t="s">
        <v>1026</v>
      </c>
      <c r="K507" s="17"/>
      <c r="L507" s="17"/>
      <c r="AC507" s="1301"/>
    </row>
    <row r="508">
      <c r="B508" s="17"/>
      <c r="C508" s="17"/>
      <c r="D508" s="17"/>
      <c r="E508" s="343"/>
      <c r="F508" s="17"/>
      <c r="G508" s="17"/>
      <c r="H508" s="17"/>
      <c r="I508" s="17"/>
      <c r="J508" s="17" t="s">
        <v>1026</v>
      </c>
      <c r="K508" s="17"/>
      <c r="L508" s="17"/>
      <c r="AC508" s="1301"/>
    </row>
    <row r="509">
      <c r="B509" s="17"/>
      <c r="C509" s="17"/>
      <c r="D509" s="17"/>
      <c r="E509" s="343"/>
      <c r="F509" s="17"/>
      <c r="G509" s="17"/>
      <c r="H509" s="17"/>
      <c r="I509" s="17"/>
      <c r="J509" s="17" t="s">
        <v>1026</v>
      </c>
      <c r="K509" s="17"/>
      <c r="L509" s="17"/>
      <c r="AC509" s="1301"/>
    </row>
    <row r="510">
      <c r="B510" s="17"/>
      <c r="C510" s="17"/>
      <c r="D510" s="17"/>
      <c r="E510" s="343"/>
      <c r="F510" s="17"/>
      <c r="G510" s="17"/>
      <c r="H510" s="17"/>
      <c r="I510" s="17"/>
      <c r="J510" s="17" t="s">
        <v>1026</v>
      </c>
      <c r="K510" s="17"/>
      <c r="L510" s="17"/>
      <c r="AC510" s="1301"/>
    </row>
    <row r="511">
      <c r="B511" s="17"/>
      <c r="C511" s="17"/>
      <c r="D511" s="17"/>
      <c r="E511" s="343"/>
      <c r="F511" s="17"/>
      <c r="G511" s="17"/>
      <c r="H511" s="17"/>
      <c r="I511" s="17"/>
      <c r="J511" s="17" t="s">
        <v>1026</v>
      </c>
      <c r="K511" s="17"/>
      <c r="L511" s="17"/>
      <c r="AC511" s="1301"/>
    </row>
    <row r="512">
      <c r="B512" s="17"/>
      <c r="C512" s="17"/>
      <c r="D512" s="17"/>
      <c r="E512" s="343"/>
      <c r="F512" s="17"/>
      <c r="G512" s="17"/>
      <c r="H512" s="17"/>
      <c r="I512" s="17"/>
      <c r="J512" s="17" t="s">
        <v>1026</v>
      </c>
      <c r="K512" s="17"/>
      <c r="L512" s="17"/>
      <c r="AC512" s="1301"/>
    </row>
    <row r="513">
      <c r="B513" s="17"/>
      <c r="C513" s="17"/>
      <c r="D513" s="17"/>
      <c r="E513" s="343"/>
      <c r="F513" s="17"/>
      <c r="G513" s="17"/>
      <c r="H513" s="17"/>
      <c r="I513" s="17"/>
      <c r="J513" s="17" t="s">
        <v>1026</v>
      </c>
      <c r="K513" s="17"/>
      <c r="L513" s="17"/>
      <c r="AC513" s="1301"/>
    </row>
    <row r="514">
      <c r="B514" s="17"/>
      <c r="C514" s="17"/>
      <c r="D514" s="17"/>
      <c r="E514" s="343"/>
      <c r="F514" s="17"/>
      <c r="G514" s="17"/>
      <c r="H514" s="17"/>
      <c r="I514" s="17"/>
      <c r="J514" s="17" t="s">
        <v>1026</v>
      </c>
      <c r="K514" s="17"/>
      <c r="L514" s="17"/>
      <c r="AC514" s="1301"/>
    </row>
    <row r="515">
      <c r="B515" s="17"/>
      <c r="C515" s="17"/>
      <c r="D515" s="17"/>
      <c r="E515" s="343"/>
      <c r="F515" s="17"/>
      <c r="G515" s="17"/>
      <c r="H515" s="17"/>
      <c r="I515" s="17"/>
      <c r="J515" s="17" t="s">
        <v>1026</v>
      </c>
      <c r="K515" s="17"/>
      <c r="L515" s="17"/>
      <c r="AC515" s="1301"/>
    </row>
    <row r="516">
      <c r="B516" s="17"/>
      <c r="C516" s="17"/>
      <c r="D516" s="17"/>
      <c r="E516" s="343"/>
      <c r="F516" s="17"/>
      <c r="G516" s="17"/>
      <c r="H516" s="17"/>
      <c r="I516" s="17"/>
      <c r="J516" s="17" t="s">
        <v>1026</v>
      </c>
      <c r="K516" s="17"/>
      <c r="L516" s="17"/>
      <c r="AC516" s="1301"/>
    </row>
    <row r="517">
      <c r="B517" s="17"/>
      <c r="C517" s="17"/>
      <c r="D517" s="17"/>
      <c r="E517" s="343"/>
      <c r="F517" s="17"/>
      <c r="G517" s="17"/>
      <c r="H517" s="17"/>
      <c r="I517" s="17"/>
      <c r="J517" s="17" t="s">
        <v>1026</v>
      </c>
      <c r="K517" s="17"/>
      <c r="L517" s="17"/>
      <c r="AC517" s="1301"/>
    </row>
    <row r="518">
      <c r="B518" s="17"/>
      <c r="C518" s="17"/>
      <c r="D518" s="17"/>
      <c r="E518" s="343"/>
      <c r="F518" s="17"/>
      <c r="G518" s="17"/>
      <c r="H518" s="17"/>
      <c r="I518" s="17"/>
      <c r="J518" s="17" t="s">
        <v>1026</v>
      </c>
      <c r="K518" s="17"/>
      <c r="L518" s="17"/>
      <c r="AC518" s="1301"/>
    </row>
    <row r="519">
      <c r="B519" s="17"/>
      <c r="C519" s="17"/>
      <c r="D519" s="17"/>
      <c r="E519" s="343"/>
      <c r="F519" s="17"/>
      <c r="G519" s="17"/>
      <c r="H519" s="17"/>
      <c r="I519" s="17"/>
      <c r="J519" s="17" t="s">
        <v>1026</v>
      </c>
      <c r="K519" s="17"/>
      <c r="L519" s="17"/>
      <c r="AC519" s="1301"/>
    </row>
    <row r="520">
      <c r="B520" s="17"/>
      <c r="C520" s="17"/>
      <c r="D520" s="17"/>
      <c r="E520" s="343"/>
      <c r="F520" s="17"/>
      <c r="G520" s="17"/>
      <c r="H520" s="17"/>
      <c r="I520" s="17"/>
      <c r="J520" s="17" t="s">
        <v>1026</v>
      </c>
      <c r="K520" s="17"/>
      <c r="L520" s="17"/>
      <c r="AC520" s="1301"/>
    </row>
    <row r="521">
      <c r="B521" s="17"/>
      <c r="C521" s="17"/>
      <c r="D521" s="17"/>
      <c r="E521" s="343"/>
      <c r="F521" s="17"/>
      <c r="G521" s="17"/>
      <c r="H521" s="17"/>
      <c r="I521" s="17"/>
      <c r="J521" s="17" t="s">
        <v>1026</v>
      </c>
      <c r="K521" s="17"/>
      <c r="L521" s="17"/>
      <c r="AC521" s="1301"/>
    </row>
    <row r="522">
      <c r="B522" s="17"/>
      <c r="C522" s="17"/>
      <c r="D522" s="17"/>
      <c r="E522" s="343"/>
      <c r="F522" s="17"/>
      <c r="G522" s="17"/>
      <c r="H522" s="17"/>
      <c r="I522" s="17"/>
      <c r="J522" s="17" t="s">
        <v>1026</v>
      </c>
      <c r="K522" s="17"/>
      <c r="L522" s="17"/>
      <c r="AC522" s="1301"/>
    </row>
    <row r="523">
      <c r="B523" s="17"/>
      <c r="C523" s="17"/>
      <c r="D523" s="17"/>
      <c r="E523" s="343"/>
      <c r="F523" s="17"/>
      <c r="G523" s="17"/>
      <c r="H523" s="17"/>
      <c r="I523" s="17"/>
      <c r="J523" s="17" t="s">
        <v>1026</v>
      </c>
      <c r="K523" s="17"/>
      <c r="L523" s="17"/>
      <c r="AC523" s="1301"/>
    </row>
    <row r="524">
      <c r="B524" s="17"/>
      <c r="C524" s="17"/>
      <c r="D524" s="17"/>
      <c r="E524" s="343"/>
      <c r="F524" s="17"/>
      <c r="G524" s="17"/>
      <c r="H524" s="17"/>
      <c r="I524" s="17"/>
      <c r="J524" s="17" t="s">
        <v>1026</v>
      </c>
      <c r="K524" s="17"/>
      <c r="L524" s="17"/>
      <c r="AC524" s="1301"/>
    </row>
    <row r="525">
      <c r="B525" s="17"/>
      <c r="C525" s="17"/>
      <c r="D525" s="17"/>
      <c r="E525" s="343"/>
      <c r="F525" s="17"/>
      <c r="G525" s="17"/>
      <c r="H525" s="17"/>
      <c r="I525" s="17"/>
      <c r="J525" s="17" t="s">
        <v>1026</v>
      </c>
      <c r="K525" s="17"/>
      <c r="L525" s="17"/>
      <c r="AC525" s="1301"/>
    </row>
    <row r="526">
      <c r="B526" s="17"/>
      <c r="C526" s="17"/>
      <c r="D526" s="17"/>
      <c r="E526" s="343"/>
      <c r="F526" s="17"/>
      <c r="G526" s="17"/>
      <c r="H526" s="17"/>
      <c r="I526" s="17"/>
      <c r="J526" s="17" t="s">
        <v>1026</v>
      </c>
      <c r="K526" s="17"/>
      <c r="L526" s="17"/>
      <c r="AC526" s="1301"/>
    </row>
    <row r="527">
      <c r="B527" s="17"/>
      <c r="C527" s="17"/>
      <c r="D527" s="17"/>
      <c r="E527" s="343"/>
      <c r="F527" s="17"/>
      <c r="G527" s="17"/>
      <c r="H527" s="17"/>
      <c r="I527" s="17"/>
      <c r="J527" s="17" t="s">
        <v>1026</v>
      </c>
      <c r="K527" s="17"/>
      <c r="L527" s="17"/>
      <c r="AC527" s="1301"/>
    </row>
    <row r="528">
      <c r="B528" s="17"/>
      <c r="C528" s="17"/>
      <c r="D528" s="17"/>
      <c r="E528" s="343"/>
      <c r="F528" s="17"/>
      <c r="G528" s="17"/>
      <c r="H528" s="17"/>
      <c r="I528" s="17"/>
      <c r="J528" s="17" t="s">
        <v>1026</v>
      </c>
      <c r="K528" s="17"/>
      <c r="L528" s="17"/>
      <c r="AC528" s="1301"/>
    </row>
    <row r="529">
      <c r="B529" s="17"/>
      <c r="C529" s="17"/>
      <c r="D529" s="17"/>
      <c r="E529" s="343"/>
      <c r="F529" s="17"/>
      <c r="G529" s="17"/>
      <c r="H529" s="17"/>
      <c r="I529" s="17"/>
      <c r="J529" s="17" t="s">
        <v>1026</v>
      </c>
      <c r="K529" s="17"/>
      <c r="L529" s="17"/>
      <c r="AC529" s="1301"/>
    </row>
    <row r="530">
      <c r="B530" s="17"/>
      <c r="C530" s="17"/>
      <c r="D530" s="17"/>
      <c r="E530" s="343"/>
      <c r="F530" s="17"/>
      <c r="G530" s="17"/>
      <c r="H530" s="17"/>
      <c r="I530" s="17"/>
      <c r="J530" s="17" t="s">
        <v>1026</v>
      </c>
      <c r="K530" s="17"/>
      <c r="L530" s="17"/>
      <c r="AC530" s="1301"/>
    </row>
    <row r="531">
      <c r="B531" s="17"/>
      <c r="C531" s="17"/>
      <c r="D531" s="17"/>
      <c r="E531" s="343"/>
      <c r="F531" s="17"/>
      <c r="G531" s="17"/>
      <c r="H531" s="17"/>
      <c r="I531" s="17"/>
      <c r="J531" s="17" t="s">
        <v>1026</v>
      </c>
      <c r="K531" s="17"/>
      <c r="L531" s="17"/>
      <c r="AC531" s="1301"/>
    </row>
    <row r="532">
      <c r="B532" s="17"/>
      <c r="C532" s="17"/>
      <c r="D532" s="17"/>
      <c r="E532" s="343"/>
      <c r="F532" s="17"/>
      <c r="G532" s="17"/>
      <c r="H532" s="17"/>
      <c r="I532" s="17"/>
      <c r="J532" s="17" t="s">
        <v>1026</v>
      </c>
      <c r="K532" s="17"/>
      <c r="L532" s="17"/>
      <c r="AC532" s="1301"/>
    </row>
    <row r="533">
      <c r="B533" s="17"/>
      <c r="C533" s="17"/>
      <c r="D533" s="17"/>
      <c r="E533" s="343"/>
      <c r="F533" s="17"/>
      <c r="G533" s="17"/>
      <c r="H533" s="17"/>
      <c r="I533" s="17"/>
      <c r="J533" s="17" t="s">
        <v>1026</v>
      </c>
      <c r="K533" s="17"/>
      <c r="L533" s="17"/>
      <c r="AC533" s="1301"/>
    </row>
    <row r="534">
      <c r="B534" s="17"/>
      <c r="C534" s="17"/>
      <c r="D534" s="17"/>
      <c r="E534" s="343"/>
      <c r="F534" s="17"/>
      <c r="G534" s="17"/>
      <c r="H534" s="17"/>
      <c r="I534" s="17"/>
      <c r="J534" s="17" t="s">
        <v>1026</v>
      </c>
      <c r="K534" s="17"/>
      <c r="L534" s="17"/>
      <c r="AC534" s="1301"/>
    </row>
    <row r="535">
      <c r="B535" s="17"/>
      <c r="C535" s="17"/>
      <c r="D535" s="17"/>
      <c r="E535" s="343"/>
      <c r="F535" s="17"/>
      <c r="G535" s="17"/>
      <c r="H535" s="17"/>
      <c r="I535" s="17"/>
      <c r="J535" s="17" t="s">
        <v>1026</v>
      </c>
      <c r="K535" s="17"/>
      <c r="L535" s="17"/>
      <c r="AC535" s="1301"/>
    </row>
    <row r="536">
      <c r="B536" s="17"/>
      <c r="C536" s="17"/>
      <c r="D536" s="17"/>
      <c r="E536" s="343"/>
      <c r="F536" s="17"/>
      <c r="G536" s="17"/>
      <c r="H536" s="17"/>
      <c r="I536" s="17"/>
      <c r="J536" s="17" t="s">
        <v>1026</v>
      </c>
      <c r="K536" s="17"/>
      <c r="L536" s="17"/>
      <c r="AC536" s="1301"/>
    </row>
    <row r="537">
      <c r="B537" s="17"/>
      <c r="C537" s="17"/>
      <c r="D537" s="17"/>
      <c r="E537" s="343"/>
      <c r="F537" s="17"/>
      <c r="G537" s="17"/>
      <c r="H537" s="17"/>
      <c r="I537" s="17"/>
      <c r="J537" s="17" t="s">
        <v>1026</v>
      </c>
      <c r="K537" s="17"/>
      <c r="L537" s="17"/>
      <c r="AC537" s="1301"/>
    </row>
    <row r="538">
      <c r="B538" s="17"/>
      <c r="C538" s="17"/>
      <c r="D538" s="17"/>
      <c r="E538" s="343"/>
      <c r="F538" s="17"/>
      <c r="G538" s="17"/>
      <c r="H538" s="17"/>
      <c r="I538" s="17"/>
      <c r="J538" s="17" t="s">
        <v>1026</v>
      </c>
      <c r="K538" s="17"/>
      <c r="L538" s="17"/>
      <c r="AC538" s="1301"/>
    </row>
    <row r="539">
      <c r="B539" s="17"/>
      <c r="C539" s="17"/>
      <c r="D539" s="17"/>
      <c r="E539" s="343"/>
      <c r="F539" s="17"/>
      <c r="G539" s="17"/>
      <c r="H539" s="17"/>
      <c r="I539" s="17"/>
      <c r="J539" s="17" t="s">
        <v>1026</v>
      </c>
      <c r="K539" s="17"/>
      <c r="L539" s="17"/>
      <c r="AC539" s="1301"/>
    </row>
    <row r="540">
      <c r="B540" s="17"/>
      <c r="C540" s="17"/>
      <c r="D540" s="17"/>
      <c r="E540" s="343"/>
      <c r="F540" s="17"/>
      <c r="G540" s="17"/>
      <c r="H540" s="17"/>
      <c r="I540" s="17"/>
      <c r="J540" s="17" t="s">
        <v>1026</v>
      </c>
      <c r="K540" s="17"/>
      <c r="L540" s="17"/>
      <c r="AC540" s="1301"/>
    </row>
    <row r="541">
      <c r="B541" s="17"/>
      <c r="C541" s="17"/>
      <c r="D541" s="17"/>
      <c r="E541" s="343"/>
      <c r="F541" s="17"/>
      <c r="G541" s="17"/>
      <c r="H541" s="17"/>
      <c r="I541" s="17"/>
      <c r="J541" s="17" t="s">
        <v>1026</v>
      </c>
      <c r="K541" s="17"/>
      <c r="L541" s="17"/>
      <c r="AC541" s="1301"/>
    </row>
    <row r="542">
      <c r="B542" s="17"/>
      <c r="C542" s="17"/>
      <c r="D542" s="17"/>
      <c r="E542" s="343"/>
      <c r="F542" s="17"/>
      <c r="G542" s="17"/>
      <c r="H542" s="17"/>
      <c r="I542" s="17"/>
      <c r="J542" s="17" t="s">
        <v>1026</v>
      </c>
      <c r="K542" s="17"/>
      <c r="L542" s="17"/>
      <c r="AC542" s="1301"/>
    </row>
    <row r="543">
      <c r="B543" s="17"/>
      <c r="C543" s="17"/>
      <c r="D543" s="17"/>
      <c r="E543" s="343"/>
      <c r="F543" s="17"/>
      <c r="G543" s="17"/>
      <c r="H543" s="17"/>
      <c r="I543" s="17"/>
      <c r="J543" s="17" t="s">
        <v>1026</v>
      </c>
      <c r="K543" s="17"/>
      <c r="L543" s="17"/>
      <c r="AC543" s="1301"/>
    </row>
    <row r="544">
      <c r="B544" s="17"/>
      <c r="C544" s="17"/>
      <c r="D544" s="17"/>
      <c r="E544" s="343"/>
      <c r="F544" s="17"/>
      <c r="G544" s="17"/>
      <c r="H544" s="17"/>
      <c r="I544" s="17"/>
      <c r="J544" s="17" t="s">
        <v>1026</v>
      </c>
      <c r="K544" s="17"/>
      <c r="L544" s="17"/>
      <c r="AC544" s="1301"/>
    </row>
    <row r="545">
      <c r="B545" s="17"/>
      <c r="C545" s="17"/>
      <c r="D545" s="17"/>
      <c r="E545" s="343"/>
      <c r="F545" s="17"/>
      <c r="G545" s="17"/>
      <c r="H545" s="17"/>
      <c r="I545" s="17"/>
      <c r="J545" s="17" t="s">
        <v>1026</v>
      </c>
      <c r="K545" s="17"/>
      <c r="L545" s="17"/>
      <c r="AC545" s="1301"/>
    </row>
    <row r="546">
      <c r="B546" s="17"/>
      <c r="C546" s="17"/>
      <c r="D546" s="17"/>
      <c r="E546" s="343"/>
      <c r="F546" s="17"/>
      <c r="G546" s="17"/>
      <c r="H546" s="17"/>
      <c r="I546" s="17"/>
      <c r="J546" s="17" t="s">
        <v>1026</v>
      </c>
      <c r="K546" s="17"/>
      <c r="L546" s="17"/>
      <c r="AC546" s="1301"/>
    </row>
    <row r="547">
      <c r="B547" s="17"/>
      <c r="C547" s="17"/>
      <c r="D547" s="17"/>
      <c r="E547" s="343"/>
      <c r="F547" s="17"/>
      <c r="G547" s="17"/>
      <c r="H547" s="17"/>
      <c r="I547" s="17"/>
      <c r="J547" s="17" t="s">
        <v>1026</v>
      </c>
      <c r="K547" s="17"/>
      <c r="L547" s="17"/>
      <c r="AC547" s="1301"/>
    </row>
    <row r="548">
      <c r="B548" s="17"/>
      <c r="C548" s="17"/>
      <c r="D548" s="17"/>
      <c r="E548" s="343"/>
      <c r="F548" s="17"/>
      <c r="G548" s="17"/>
      <c r="H548" s="17"/>
      <c r="I548" s="17"/>
      <c r="J548" s="17" t="s">
        <v>1026</v>
      </c>
      <c r="K548" s="17"/>
      <c r="L548" s="17"/>
      <c r="AC548" s="1301"/>
    </row>
    <row r="549">
      <c r="B549" s="17"/>
      <c r="C549" s="17"/>
      <c r="D549" s="17"/>
      <c r="E549" s="343"/>
      <c r="F549" s="17"/>
      <c r="G549" s="17"/>
      <c r="H549" s="17"/>
      <c r="I549" s="17"/>
      <c r="J549" s="17" t="s">
        <v>1026</v>
      </c>
      <c r="K549" s="17"/>
      <c r="L549" s="17"/>
      <c r="AC549" s="1301"/>
    </row>
    <row r="550">
      <c r="B550" s="17"/>
      <c r="C550" s="17"/>
      <c r="D550" s="17"/>
      <c r="E550" s="343"/>
      <c r="F550" s="17"/>
      <c r="G550" s="17"/>
      <c r="H550" s="17"/>
      <c r="I550" s="17"/>
      <c r="J550" s="17" t="s">
        <v>1026</v>
      </c>
      <c r="K550" s="17"/>
      <c r="L550" s="17"/>
      <c r="AC550" s="1301"/>
    </row>
    <row r="551">
      <c r="B551" s="17"/>
      <c r="C551" s="17"/>
      <c r="D551" s="17"/>
      <c r="E551" s="343"/>
      <c r="F551" s="17"/>
      <c r="G551" s="17"/>
      <c r="H551" s="17"/>
      <c r="I551" s="17"/>
      <c r="J551" s="17" t="s">
        <v>1026</v>
      </c>
      <c r="K551" s="17"/>
      <c r="L551" s="17"/>
      <c r="AC551" s="1301"/>
    </row>
    <row r="552">
      <c r="B552" s="17"/>
      <c r="C552" s="17"/>
      <c r="D552" s="17"/>
      <c r="E552" s="343"/>
      <c r="F552" s="17"/>
      <c r="G552" s="17"/>
      <c r="H552" s="17"/>
      <c r="I552" s="17"/>
      <c r="J552" s="17" t="s">
        <v>1026</v>
      </c>
      <c r="K552" s="17"/>
      <c r="L552" s="17"/>
      <c r="AC552" s="1301"/>
    </row>
    <row r="553">
      <c r="B553" s="17"/>
      <c r="C553" s="17"/>
      <c r="D553" s="17"/>
      <c r="E553" s="343"/>
      <c r="F553" s="17"/>
      <c r="G553" s="17"/>
      <c r="H553" s="17"/>
      <c r="I553" s="17"/>
      <c r="J553" s="17" t="s">
        <v>1026</v>
      </c>
      <c r="K553" s="17"/>
      <c r="L553" s="17"/>
      <c r="AC553" s="1301"/>
    </row>
    <row r="554">
      <c r="B554" s="17"/>
      <c r="C554" s="17"/>
      <c r="D554" s="17"/>
      <c r="E554" s="343"/>
      <c r="F554" s="17"/>
      <c r="G554" s="17"/>
      <c r="H554" s="17"/>
      <c r="I554" s="17"/>
      <c r="J554" s="17" t="s">
        <v>1026</v>
      </c>
      <c r="K554" s="17"/>
      <c r="L554" s="17"/>
      <c r="AC554" s="1301"/>
    </row>
    <row r="555">
      <c r="B555" s="17"/>
      <c r="C555" s="17"/>
      <c r="D555" s="17"/>
      <c r="E555" s="343"/>
      <c r="F555" s="17"/>
      <c r="G555" s="17"/>
      <c r="H555" s="17"/>
      <c r="I555" s="17"/>
      <c r="J555" s="17" t="s">
        <v>1026</v>
      </c>
      <c r="K555" s="17"/>
      <c r="L555" s="17"/>
      <c r="AC555" s="1301"/>
    </row>
    <row r="556">
      <c r="B556" s="17"/>
      <c r="C556" s="17"/>
      <c r="D556" s="17"/>
      <c r="E556" s="343"/>
      <c r="F556" s="17"/>
      <c r="G556" s="17"/>
      <c r="H556" s="17"/>
      <c r="I556" s="17"/>
      <c r="J556" s="17" t="s">
        <v>1026</v>
      </c>
      <c r="K556" s="17"/>
      <c r="L556" s="17"/>
      <c r="AC556" s="1301"/>
    </row>
    <row r="557">
      <c r="B557" s="17"/>
      <c r="C557" s="17"/>
      <c r="D557" s="17"/>
      <c r="E557" s="343"/>
      <c r="F557" s="17"/>
      <c r="G557" s="17"/>
      <c r="H557" s="17"/>
      <c r="I557" s="17"/>
      <c r="J557" s="17" t="s">
        <v>1026</v>
      </c>
      <c r="K557" s="17"/>
      <c r="L557" s="17"/>
      <c r="AC557" s="1301"/>
    </row>
    <row r="558">
      <c r="B558" s="17"/>
      <c r="C558" s="17"/>
      <c r="D558" s="17"/>
      <c r="E558" s="343"/>
      <c r="F558" s="17"/>
      <c r="G558" s="17"/>
      <c r="H558" s="17"/>
      <c r="I558" s="17"/>
      <c r="J558" s="17" t="s">
        <v>1026</v>
      </c>
      <c r="K558" s="17"/>
      <c r="L558" s="17"/>
      <c r="AC558" s="1301"/>
    </row>
    <row r="559">
      <c r="B559" s="17"/>
      <c r="C559" s="17"/>
      <c r="D559" s="17"/>
      <c r="E559" s="343"/>
      <c r="F559" s="17"/>
      <c r="G559" s="17"/>
      <c r="H559" s="17"/>
      <c r="I559" s="17"/>
      <c r="J559" s="17" t="s">
        <v>1026</v>
      </c>
      <c r="K559" s="17"/>
      <c r="L559" s="17"/>
      <c r="AC559" s="1301"/>
    </row>
    <row r="560">
      <c r="B560" s="17"/>
      <c r="C560" s="17"/>
      <c r="D560" s="17"/>
      <c r="E560" s="343"/>
      <c r="F560" s="17"/>
      <c r="G560" s="17"/>
      <c r="H560" s="17"/>
      <c r="I560" s="17"/>
      <c r="J560" s="17" t="s">
        <v>1026</v>
      </c>
      <c r="K560" s="17"/>
      <c r="L560" s="17"/>
      <c r="AC560" s="1301"/>
    </row>
    <row r="561">
      <c r="B561" s="17"/>
      <c r="C561" s="17"/>
      <c r="D561" s="17"/>
      <c r="E561" s="343"/>
      <c r="F561" s="17"/>
      <c r="G561" s="17"/>
      <c r="H561" s="17"/>
      <c r="I561" s="17"/>
      <c r="J561" s="17" t="s">
        <v>1026</v>
      </c>
      <c r="K561" s="17"/>
      <c r="L561" s="17"/>
      <c r="AC561" s="1301"/>
    </row>
    <row r="562">
      <c r="B562" s="17"/>
      <c r="C562" s="17"/>
      <c r="D562" s="17"/>
      <c r="E562" s="343"/>
      <c r="F562" s="17"/>
      <c r="G562" s="17"/>
      <c r="H562" s="17"/>
      <c r="I562" s="17"/>
      <c r="J562" s="17" t="s">
        <v>1026</v>
      </c>
      <c r="K562" s="17"/>
      <c r="L562" s="17"/>
      <c r="AC562" s="1301"/>
    </row>
    <row r="563">
      <c r="B563" s="17"/>
      <c r="C563" s="17"/>
      <c r="D563" s="17"/>
      <c r="E563" s="343"/>
      <c r="F563" s="17"/>
      <c r="G563" s="17"/>
      <c r="H563" s="17"/>
      <c r="I563" s="17"/>
      <c r="J563" s="17" t="s">
        <v>1026</v>
      </c>
      <c r="K563" s="17"/>
      <c r="L563" s="17"/>
      <c r="AC563" s="1301"/>
    </row>
    <row r="564">
      <c r="B564" s="17"/>
      <c r="C564" s="17"/>
      <c r="D564" s="17"/>
      <c r="E564" s="343"/>
      <c r="F564" s="17"/>
      <c r="G564" s="17"/>
      <c r="H564" s="17"/>
      <c r="I564" s="17"/>
      <c r="J564" s="17" t="s">
        <v>1026</v>
      </c>
      <c r="K564" s="17"/>
      <c r="L564" s="17"/>
      <c r="AC564" s="1301"/>
    </row>
    <row r="565">
      <c r="B565" s="17"/>
      <c r="C565" s="17"/>
      <c r="D565" s="17"/>
      <c r="E565" s="343"/>
      <c r="F565" s="17"/>
      <c r="G565" s="17"/>
      <c r="H565" s="17"/>
      <c r="I565" s="17"/>
      <c r="J565" s="17" t="s">
        <v>1026</v>
      </c>
      <c r="K565" s="17"/>
      <c r="L565" s="17"/>
      <c r="AC565" s="1301"/>
    </row>
    <row r="566">
      <c r="B566" s="17"/>
      <c r="C566" s="17"/>
      <c r="D566" s="17"/>
      <c r="E566" s="343"/>
      <c r="F566" s="17"/>
      <c r="G566" s="17"/>
      <c r="H566" s="17"/>
      <c r="I566" s="17"/>
      <c r="J566" s="17" t="s">
        <v>1026</v>
      </c>
      <c r="K566" s="17"/>
      <c r="L566" s="17"/>
      <c r="AC566" s="1301"/>
    </row>
    <row r="567">
      <c r="B567" s="17"/>
      <c r="C567" s="17"/>
      <c r="D567" s="17"/>
      <c r="E567" s="343"/>
      <c r="F567" s="17"/>
      <c r="G567" s="17"/>
      <c r="H567" s="17"/>
      <c r="I567" s="17"/>
      <c r="J567" s="17" t="s">
        <v>1026</v>
      </c>
      <c r="K567" s="17"/>
      <c r="L567" s="17"/>
      <c r="AC567" s="1301"/>
    </row>
    <row r="568">
      <c r="B568" s="17"/>
      <c r="C568" s="17"/>
      <c r="D568" s="17"/>
      <c r="E568" s="343"/>
      <c r="F568" s="17"/>
      <c r="G568" s="17"/>
      <c r="H568" s="17"/>
      <c r="I568" s="17"/>
      <c r="J568" s="17" t="s">
        <v>1026</v>
      </c>
      <c r="K568" s="17"/>
      <c r="L568" s="17"/>
      <c r="AC568" s="1301"/>
    </row>
    <row r="569">
      <c r="B569" s="17"/>
      <c r="C569" s="17"/>
      <c r="D569" s="17"/>
      <c r="E569" s="343"/>
      <c r="F569" s="17"/>
      <c r="G569" s="17"/>
      <c r="H569" s="17"/>
      <c r="I569" s="17"/>
      <c r="J569" s="17" t="s">
        <v>1026</v>
      </c>
      <c r="K569" s="17"/>
      <c r="L569" s="17"/>
      <c r="AC569" s="1301"/>
    </row>
    <row r="570">
      <c r="B570" s="17"/>
      <c r="C570" s="17"/>
      <c r="D570" s="17"/>
      <c r="E570" s="343"/>
      <c r="F570" s="17"/>
      <c r="G570" s="17"/>
      <c r="H570" s="17"/>
      <c r="I570" s="17"/>
      <c r="J570" s="17" t="s">
        <v>1026</v>
      </c>
      <c r="K570" s="17"/>
      <c r="L570" s="17"/>
      <c r="AC570" s="1301"/>
    </row>
    <row r="571">
      <c r="B571" s="17"/>
      <c r="C571" s="17"/>
      <c r="D571" s="17"/>
      <c r="E571" s="343"/>
      <c r="F571" s="17"/>
      <c r="G571" s="17"/>
      <c r="H571" s="17"/>
      <c r="I571" s="17"/>
      <c r="J571" s="17" t="s">
        <v>1026</v>
      </c>
      <c r="K571" s="17"/>
      <c r="L571" s="17"/>
      <c r="AC571" s="1301"/>
    </row>
    <row r="572">
      <c r="B572" s="17"/>
      <c r="C572" s="17"/>
      <c r="D572" s="17"/>
      <c r="E572" s="343"/>
      <c r="F572" s="17"/>
      <c r="G572" s="17"/>
      <c r="H572" s="17"/>
      <c r="I572" s="17"/>
      <c r="J572" s="17" t="s">
        <v>1026</v>
      </c>
      <c r="K572" s="17"/>
      <c r="L572" s="17"/>
      <c r="AC572" s="1301"/>
    </row>
    <row r="573">
      <c r="B573" s="17"/>
      <c r="C573" s="17"/>
      <c r="D573" s="17"/>
      <c r="E573" s="343"/>
      <c r="F573" s="17"/>
      <c r="G573" s="17"/>
      <c r="H573" s="17"/>
      <c r="I573" s="17"/>
      <c r="J573" s="17" t="s">
        <v>1026</v>
      </c>
      <c r="K573" s="17"/>
      <c r="L573" s="17"/>
      <c r="AC573" s="1301"/>
    </row>
    <row r="574">
      <c r="B574" s="17"/>
      <c r="C574" s="17"/>
      <c r="D574" s="17"/>
      <c r="E574" s="343"/>
      <c r="F574" s="17"/>
      <c r="G574" s="17"/>
      <c r="H574" s="17"/>
      <c r="I574" s="17"/>
      <c r="J574" s="17" t="s">
        <v>1026</v>
      </c>
      <c r="K574" s="17"/>
      <c r="L574" s="17"/>
      <c r="AC574" s="1301"/>
    </row>
    <row r="575">
      <c r="B575" s="17"/>
      <c r="C575" s="17"/>
      <c r="D575" s="17"/>
      <c r="E575" s="343"/>
      <c r="F575" s="17"/>
      <c r="G575" s="17"/>
      <c r="H575" s="17"/>
      <c r="I575" s="17"/>
      <c r="J575" s="17" t="s">
        <v>1026</v>
      </c>
      <c r="K575" s="17"/>
      <c r="L575" s="17"/>
      <c r="AC575" s="1301"/>
    </row>
    <row r="576">
      <c r="B576" s="17"/>
      <c r="C576" s="17"/>
      <c r="D576" s="17"/>
      <c r="E576" s="343"/>
      <c r="F576" s="17"/>
      <c r="G576" s="17"/>
      <c r="H576" s="17"/>
      <c r="I576" s="17"/>
      <c r="J576" s="17" t="s">
        <v>1026</v>
      </c>
      <c r="K576" s="17"/>
      <c r="L576" s="17"/>
      <c r="AC576" s="1301"/>
    </row>
    <row r="577">
      <c r="B577" s="17"/>
      <c r="C577" s="17"/>
      <c r="D577" s="17"/>
      <c r="E577" s="343"/>
      <c r="F577" s="17"/>
      <c r="G577" s="17"/>
      <c r="H577" s="17"/>
      <c r="I577" s="17"/>
      <c r="J577" s="17" t="s">
        <v>1026</v>
      </c>
      <c r="K577" s="17"/>
      <c r="L577" s="17"/>
      <c r="AC577" s="1301"/>
    </row>
    <row r="578">
      <c r="B578" s="17"/>
      <c r="C578" s="17"/>
      <c r="D578" s="17"/>
      <c r="E578" s="343"/>
      <c r="F578" s="17"/>
      <c r="G578" s="17"/>
      <c r="H578" s="17"/>
      <c r="I578" s="17"/>
      <c r="J578" s="17" t="s">
        <v>1026</v>
      </c>
      <c r="K578" s="17"/>
      <c r="L578" s="17"/>
      <c r="AC578" s="1301"/>
    </row>
    <row r="579">
      <c r="B579" s="17"/>
      <c r="C579" s="17"/>
      <c r="D579" s="17"/>
      <c r="E579" s="343"/>
      <c r="F579" s="17"/>
      <c r="G579" s="17"/>
      <c r="H579" s="17"/>
      <c r="I579" s="17"/>
      <c r="J579" s="17" t="s">
        <v>1026</v>
      </c>
      <c r="K579" s="17"/>
      <c r="L579" s="17"/>
      <c r="AC579" s="1301"/>
    </row>
    <row r="580">
      <c r="B580" s="17"/>
      <c r="C580" s="17"/>
      <c r="D580" s="17"/>
      <c r="E580" s="343"/>
      <c r="F580" s="17"/>
      <c r="G580" s="17"/>
      <c r="H580" s="17"/>
      <c r="I580" s="17"/>
      <c r="J580" s="17" t="s">
        <v>1026</v>
      </c>
      <c r="K580" s="17"/>
      <c r="L580" s="17"/>
      <c r="AC580" s="1301"/>
    </row>
    <row r="581">
      <c r="B581" s="17"/>
      <c r="C581" s="17"/>
      <c r="D581" s="17"/>
      <c r="E581" s="343"/>
      <c r="F581" s="17"/>
      <c r="G581" s="17"/>
      <c r="H581" s="17"/>
      <c r="I581" s="17"/>
      <c r="J581" s="17" t="s">
        <v>1026</v>
      </c>
      <c r="K581" s="17"/>
      <c r="L581" s="17"/>
      <c r="AC581" s="1301"/>
    </row>
    <row r="582">
      <c r="B582" s="17"/>
      <c r="C582" s="17"/>
      <c r="D582" s="17"/>
      <c r="E582" s="343"/>
      <c r="F582" s="17"/>
      <c r="G582" s="17"/>
      <c r="H582" s="17"/>
      <c r="I582" s="17"/>
      <c r="J582" s="17" t="s">
        <v>1026</v>
      </c>
      <c r="K582" s="17"/>
      <c r="L582" s="17"/>
      <c r="AC582" s="1301"/>
    </row>
    <row r="583">
      <c r="B583" s="17"/>
      <c r="C583" s="17"/>
      <c r="D583" s="17"/>
      <c r="E583" s="343"/>
      <c r="F583" s="17"/>
      <c r="G583" s="17"/>
      <c r="H583" s="17"/>
      <c r="I583" s="17"/>
      <c r="J583" s="17" t="s">
        <v>1026</v>
      </c>
      <c r="K583" s="17"/>
      <c r="L583" s="17"/>
      <c r="AC583" s="1301"/>
    </row>
    <row r="584">
      <c r="B584" s="17"/>
      <c r="C584" s="17"/>
      <c r="D584" s="17"/>
      <c r="E584" s="343"/>
      <c r="F584" s="17"/>
      <c r="G584" s="17"/>
      <c r="H584" s="17"/>
      <c r="I584" s="17"/>
      <c r="J584" s="17" t="s">
        <v>1026</v>
      </c>
      <c r="K584" s="17"/>
      <c r="L584" s="17"/>
      <c r="AC584" s="1301"/>
    </row>
    <row r="585">
      <c r="B585" s="17"/>
      <c r="C585" s="17"/>
      <c r="D585" s="17"/>
      <c r="E585" s="343"/>
      <c r="F585" s="17"/>
      <c r="G585" s="17"/>
      <c r="H585" s="17"/>
      <c r="I585" s="17"/>
      <c r="J585" s="17" t="s">
        <v>1026</v>
      </c>
      <c r="K585" s="17"/>
      <c r="L585" s="17"/>
      <c r="AC585" s="1301"/>
    </row>
    <row r="586">
      <c r="B586" s="17"/>
      <c r="C586" s="17"/>
      <c r="D586" s="17"/>
      <c r="E586" s="343"/>
      <c r="F586" s="17"/>
      <c r="G586" s="17"/>
      <c r="H586" s="17"/>
      <c r="I586" s="17"/>
      <c r="J586" s="17" t="s">
        <v>1026</v>
      </c>
      <c r="K586" s="17"/>
      <c r="L586" s="17"/>
      <c r="AC586" s="1301"/>
    </row>
    <row r="587">
      <c r="B587" s="17"/>
      <c r="C587" s="17"/>
      <c r="D587" s="17"/>
      <c r="E587" s="343"/>
      <c r="F587" s="17"/>
      <c r="G587" s="17"/>
      <c r="H587" s="17"/>
      <c r="I587" s="17"/>
      <c r="J587" s="17" t="s">
        <v>1026</v>
      </c>
      <c r="K587" s="17"/>
      <c r="L587" s="17"/>
      <c r="AC587" s="1301"/>
    </row>
    <row r="588">
      <c r="B588" s="17"/>
      <c r="C588" s="17"/>
      <c r="D588" s="17"/>
      <c r="E588" s="343"/>
      <c r="F588" s="17"/>
      <c r="G588" s="17"/>
      <c r="H588" s="17"/>
      <c r="I588" s="17"/>
      <c r="J588" s="17" t="s">
        <v>1026</v>
      </c>
      <c r="K588" s="17"/>
      <c r="L588" s="17"/>
      <c r="AC588" s="1301"/>
    </row>
    <row r="589">
      <c r="B589" s="17"/>
      <c r="C589" s="17"/>
      <c r="D589" s="17"/>
      <c r="E589" s="343"/>
      <c r="F589" s="17"/>
      <c r="G589" s="17"/>
      <c r="H589" s="17"/>
      <c r="I589" s="17"/>
      <c r="J589" s="17" t="s">
        <v>1026</v>
      </c>
      <c r="K589" s="17"/>
      <c r="L589" s="17"/>
      <c r="AC589" s="1301"/>
    </row>
    <row r="590">
      <c r="B590" s="17"/>
      <c r="C590" s="17"/>
      <c r="D590" s="17"/>
      <c r="E590" s="343"/>
      <c r="F590" s="17"/>
      <c r="G590" s="17"/>
      <c r="H590" s="17"/>
      <c r="I590" s="17"/>
      <c r="J590" s="17" t="s">
        <v>1026</v>
      </c>
      <c r="K590" s="17"/>
      <c r="L590" s="17"/>
      <c r="AC590" s="1301"/>
    </row>
    <row r="591">
      <c r="B591" s="17"/>
      <c r="C591" s="17"/>
      <c r="D591" s="17"/>
      <c r="E591" s="343"/>
      <c r="F591" s="17"/>
      <c r="G591" s="17"/>
      <c r="H591" s="17"/>
      <c r="I591" s="17"/>
      <c r="J591" s="17" t="s">
        <v>1026</v>
      </c>
      <c r="K591" s="17"/>
      <c r="L591" s="17"/>
      <c r="AC591" s="1301"/>
    </row>
    <row r="592">
      <c r="B592" s="17"/>
      <c r="C592" s="17"/>
      <c r="D592" s="17"/>
      <c r="E592" s="343"/>
      <c r="F592" s="17"/>
      <c r="G592" s="17"/>
      <c r="H592" s="17"/>
      <c r="I592" s="17"/>
      <c r="J592" s="17" t="s">
        <v>1026</v>
      </c>
      <c r="K592" s="17"/>
      <c r="L592" s="17"/>
      <c r="AC592" s="1301"/>
    </row>
    <row r="593">
      <c r="B593" s="17"/>
      <c r="C593" s="17"/>
      <c r="D593" s="17"/>
      <c r="E593" s="343"/>
      <c r="F593" s="17"/>
      <c r="G593" s="17"/>
      <c r="H593" s="17"/>
      <c r="I593" s="17"/>
      <c r="J593" s="17" t="s">
        <v>1026</v>
      </c>
      <c r="K593" s="17"/>
      <c r="L593" s="17"/>
      <c r="AC593" s="1301"/>
    </row>
    <row r="594">
      <c r="B594" s="17"/>
      <c r="C594" s="17"/>
      <c r="D594" s="17"/>
      <c r="E594" s="343"/>
      <c r="F594" s="17"/>
      <c r="G594" s="17"/>
      <c r="H594" s="17"/>
      <c r="I594" s="17"/>
      <c r="J594" s="17" t="s">
        <v>1026</v>
      </c>
      <c r="K594" s="17"/>
      <c r="L594" s="17"/>
      <c r="AC594" s="1301"/>
    </row>
    <row r="595">
      <c r="B595" s="17"/>
      <c r="C595" s="17"/>
      <c r="D595" s="17"/>
      <c r="E595" s="343"/>
      <c r="F595" s="17"/>
      <c r="G595" s="17"/>
      <c r="H595" s="17"/>
      <c r="I595" s="17"/>
      <c r="J595" s="17" t="s">
        <v>1026</v>
      </c>
      <c r="K595" s="17"/>
      <c r="L595" s="17"/>
      <c r="AC595" s="1301"/>
    </row>
    <row r="596">
      <c r="B596" s="17"/>
      <c r="C596" s="17"/>
      <c r="D596" s="17"/>
      <c r="E596" s="343"/>
      <c r="F596" s="17"/>
      <c r="G596" s="17"/>
      <c r="H596" s="17"/>
      <c r="I596" s="17"/>
      <c r="J596" s="17" t="s">
        <v>1026</v>
      </c>
      <c r="K596" s="17"/>
      <c r="L596" s="17"/>
      <c r="AC596" s="1301"/>
    </row>
    <row r="597">
      <c r="B597" s="17"/>
      <c r="C597" s="17"/>
      <c r="D597" s="17"/>
      <c r="E597" s="343"/>
      <c r="F597" s="17"/>
      <c r="G597" s="17"/>
      <c r="H597" s="17"/>
      <c r="I597" s="17"/>
      <c r="J597" s="17" t="s">
        <v>1026</v>
      </c>
      <c r="K597" s="17"/>
      <c r="L597" s="17"/>
      <c r="AC597" s="1301"/>
    </row>
    <row r="598">
      <c r="B598" s="17"/>
      <c r="C598" s="17"/>
      <c r="D598" s="17"/>
      <c r="E598" s="343"/>
      <c r="F598" s="17"/>
      <c r="G598" s="17"/>
      <c r="H598" s="17"/>
      <c r="I598" s="17"/>
      <c r="J598" s="17" t="s">
        <v>1026</v>
      </c>
      <c r="K598" s="17"/>
      <c r="L598" s="17"/>
      <c r="AC598" s="1301"/>
    </row>
    <row r="599">
      <c r="B599" s="17"/>
      <c r="C599" s="17"/>
      <c r="D599" s="17"/>
      <c r="E599" s="343"/>
      <c r="F599" s="17"/>
      <c r="G599" s="17"/>
      <c r="H599" s="17"/>
      <c r="I599" s="17"/>
      <c r="J599" s="17" t="s">
        <v>1026</v>
      </c>
      <c r="K599" s="17"/>
      <c r="L599" s="17"/>
      <c r="AC599" s="1301"/>
    </row>
    <row r="600">
      <c r="B600" s="17"/>
      <c r="C600" s="17"/>
      <c r="D600" s="17"/>
      <c r="E600" s="343"/>
      <c r="F600" s="17"/>
      <c r="G600" s="17"/>
      <c r="H600" s="17"/>
      <c r="I600" s="17"/>
      <c r="J600" s="17" t="s">
        <v>1026</v>
      </c>
      <c r="K600" s="17"/>
      <c r="L600" s="17"/>
      <c r="AC600" s="1301"/>
    </row>
    <row r="601">
      <c r="B601" s="17"/>
      <c r="C601" s="17"/>
      <c r="D601" s="17"/>
      <c r="E601" s="343"/>
      <c r="F601" s="17"/>
      <c r="G601" s="17"/>
      <c r="H601" s="17"/>
      <c r="I601" s="17"/>
      <c r="J601" s="17" t="s">
        <v>1026</v>
      </c>
      <c r="K601" s="17"/>
      <c r="L601" s="17"/>
      <c r="AC601" s="1301"/>
    </row>
    <row r="602">
      <c r="B602" s="17"/>
      <c r="C602" s="17"/>
      <c r="D602" s="17"/>
      <c r="E602" s="343"/>
      <c r="F602" s="17"/>
      <c r="G602" s="17"/>
      <c r="H602" s="17"/>
      <c r="I602" s="17"/>
      <c r="J602" s="17" t="s">
        <v>1026</v>
      </c>
      <c r="K602" s="17"/>
      <c r="L602" s="17"/>
      <c r="AC602" s="1301"/>
    </row>
    <row r="603">
      <c r="B603" s="17"/>
      <c r="C603" s="17"/>
      <c r="D603" s="17"/>
      <c r="E603" s="343"/>
      <c r="F603" s="17"/>
      <c r="G603" s="17"/>
      <c r="H603" s="17"/>
      <c r="I603" s="17"/>
      <c r="J603" s="17" t="s">
        <v>1026</v>
      </c>
      <c r="K603" s="17"/>
      <c r="L603" s="17"/>
      <c r="AC603" s="1301"/>
    </row>
    <row r="604">
      <c r="B604" s="17"/>
      <c r="C604" s="17"/>
      <c r="D604" s="17"/>
      <c r="E604" s="343"/>
      <c r="F604" s="17"/>
      <c r="G604" s="17"/>
      <c r="H604" s="17"/>
      <c r="I604" s="17"/>
      <c r="J604" s="17" t="s">
        <v>1026</v>
      </c>
      <c r="K604" s="17"/>
      <c r="L604" s="17"/>
      <c r="AC604" s="1301"/>
    </row>
    <row r="605">
      <c r="B605" s="17"/>
      <c r="C605" s="17"/>
      <c r="D605" s="17"/>
      <c r="E605" s="343"/>
      <c r="F605" s="17"/>
      <c r="G605" s="17"/>
      <c r="H605" s="17"/>
      <c r="I605" s="17"/>
      <c r="J605" s="17" t="s">
        <v>1026</v>
      </c>
      <c r="K605" s="17"/>
      <c r="L605" s="17"/>
      <c r="AC605" s="1301"/>
    </row>
    <row r="606">
      <c r="B606" s="17"/>
      <c r="C606" s="17"/>
      <c r="D606" s="17"/>
      <c r="E606" s="343"/>
      <c r="F606" s="17"/>
      <c r="G606" s="17"/>
      <c r="H606" s="17"/>
      <c r="I606" s="17"/>
      <c r="J606" s="17" t="s">
        <v>1026</v>
      </c>
      <c r="K606" s="17"/>
      <c r="L606" s="17"/>
      <c r="AC606" s="1301"/>
    </row>
    <row r="607">
      <c r="B607" s="17"/>
      <c r="C607" s="17"/>
      <c r="D607" s="17"/>
      <c r="E607" s="343"/>
      <c r="F607" s="17"/>
      <c r="G607" s="17"/>
      <c r="H607" s="17"/>
      <c r="I607" s="17"/>
      <c r="J607" s="17" t="s">
        <v>1026</v>
      </c>
      <c r="K607" s="17"/>
      <c r="L607" s="17"/>
      <c r="AC607" s="1301"/>
    </row>
    <row r="608">
      <c r="B608" s="17"/>
      <c r="C608" s="17"/>
      <c r="D608" s="17"/>
      <c r="E608" s="343"/>
      <c r="F608" s="17"/>
      <c r="G608" s="17"/>
      <c r="H608" s="17"/>
      <c r="I608" s="17"/>
      <c r="J608" s="17" t="s">
        <v>1026</v>
      </c>
      <c r="K608" s="17"/>
      <c r="L608" s="17"/>
      <c r="AC608" s="1301"/>
    </row>
    <row r="609">
      <c r="B609" s="17"/>
      <c r="C609" s="17"/>
      <c r="D609" s="17"/>
      <c r="E609" s="343"/>
      <c r="F609" s="17"/>
      <c r="G609" s="17"/>
      <c r="H609" s="17"/>
      <c r="I609" s="17"/>
      <c r="J609" s="17" t="s">
        <v>1026</v>
      </c>
      <c r="K609" s="17"/>
      <c r="L609" s="17"/>
      <c r="AC609" s="1301"/>
    </row>
    <row r="610">
      <c r="B610" s="17"/>
      <c r="C610" s="17"/>
      <c r="D610" s="17"/>
      <c r="E610" s="343"/>
      <c r="F610" s="17"/>
      <c r="G610" s="17"/>
      <c r="H610" s="17"/>
      <c r="I610" s="17"/>
      <c r="J610" s="17" t="s">
        <v>1026</v>
      </c>
      <c r="K610" s="17"/>
      <c r="L610" s="17"/>
      <c r="AC610" s="1301"/>
    </row>
    <row r="611">
      <c r="B611" s="17"/>
      <c r="C611" s="17"/>
      <c r="D611" s="17"/>
      <c r="E611" s="343"/>
      <c r="F611" s="17"/>
      <c r="G611" s="17"/>
      <c r="H611" s="17"/>
      <c r="I611" s="17"/>
      <c r="J611" s="17" t="s">
        <v>1026</v>
      </c>
      <c r="K611" s="17"/>
      <c r="L611" s="17"/>
      <c r="AC611" s="1301"/>
    </row>
    <row r="612">
      <c r="B612" s="17"/>
      <c r="C612" s="17"/>
      <c r="D612" s="17"/>
      <c r="E612" s="343"/>
      <c r="F612" s="17"/>
      <c r="G612" s="17"/>
      <c r="H612" s="17"/>
      <c r="I612" s="17"/>
      <c r="J612" s="17" t="s">
        <v>1026</v>
      </c>
      <c r="K612" s="17"/>
      <c r="L612" s="17"/>
      <c r="AC612" s="1301"/>
    </row>
    <row r="613">
      <c r="B613" s="17"/>
      <c r="C613" s="17"/>
      <c r="D613" s="17"/>
      <c r="E613" s="343"/>
      <c r="F613" s="17"/>
      <c r="G613" s="17"/>
      <c r="H613" s="17"/>
      <c r="I613" s="17"/>
      <c r="J613" s="17" t="s">
        <v>1026</v>
      </c>
      <c r="K613" s="17"/>
      <c r="L613" s="17"/>
      <c r="AC613" s="1301"/>
    </row>
    <row r="614">
      <c r="B614" s="17"/>
      <c r="C614" s="17"/>
      <c r="D614" s="17"/>
      <c r="E614" s="343"/>
      <c r="F614" s="17"/>
      <c r="G614" s="17"/>
      <c r="H614" s="17"/>
      <c r="I614" s="17"/>
      <c r="J614" s="17" t="s">
        <v>1026</v>
      </c>
      <c r="K614" s="17"/>
      <c r="L614" s="17"/>
      <c r="AC614" s="1301"/>
    </row>
    <row r="615">
      <c r="B615" s="17"/>
      <c r="C615" s="17"/>
      <c r="D615" s="17"/>
      <c r="E615" s="343"/>
      <c r="F615" s="17"/>
      <c r="G615" s="17"/>
      <c r="H615" s="17"/>
      <c r="I615" s="17"/>
      <c r="J615" s="17" t="s">
        <v>1026</v>
      </c>
      <c r="K615" s="17"/>
      <c r="L615" s="17"/>
      <c r="AC615" s="1301"/>
    </row>
    <row r="616">
      <c r="B616" s="17"/>
      <c r="C616" s="17"/>
      <c r="D616" s="17"/>
      <c r="E616" s="343"/>
      <c r="F616" s="17"/>
      <c r="G616" s="17"/>
      <c r="H616" s="17"/>
      <c r="I616" s="17"/>
      <c r="J616" s="17" t="s">
        <v>1026</v>
      </c>
      <c r="K616" s="17"/>
      <c r="L616" s="17"/>
      <c r="AC616" s="1301"/>
    </row>
    <row r="617">
      <c r="B617" s="17"/>
      <c r="C617" s="17"/>
      <c r="D617" s="17"/>
      <c r="E617" s="343"/>
      <c r="F617" s="17"/>
      <c r="G617" s="17"/>
      <c r="H617" s="17"/>
      <c r="I617" s="17"/>
      <c r="J617" s="17" t="s">
        <v>1026</v>
      </c>
      <c r="K617" s="17"/>
      <c r="L617" s="17"/>
      <c r="AC617" s="1301"/>
    </row>
    <row r="618">
      <c r="B618" s="17"/>
      <c r="C618" s="17"/>
      <c r="D618" s="17"/>
      <c r="E618" s="343"/>
      <c r="F618" s="17"/>
      <c r="G618" s="17"/>
      <c r="H618" s="17"/>
      <c r="I618" s="17"/>
      <c r="J618" s="17" t="s">
        <v>1026</v>
      </c>
      <c r="K618" s="17"/>
      <c r="L618" s="17"/>
      <c r="AC618" s="1301"/>
    </row>
    <row r="619">
      <c r="B619" s="17"/>
      <c r="C619" s="17"/>
      <c r="D619" s="17"/>
      <c r="E619" s="343"/>
      <c r="F619" s="17"/>
      <c r="G619" s="17"/>
      <c r="H619" s="17"/>
      <c r="I619" s="17"/>
      <c r="J619" s="17" t="s">
        <v>1026</v>
      </c>
      <c r="K619" s="17"/>
      <c r="L619" s="17"/>
      <c r="AC619" s="1301"/>
    </row>
    <row r="620">
      <c r="B620" s="17"/>
      <c r="C620" s="17"/>
      <c r="D620" s="17"/>
      <c r="E620" s="343"/>
      <c r="F620" s="17"/>
      <c r="G620" s="17"/>
      <c r="H620" s="17"/>
      <c r="I620" s="17"/>
      <c r="J620" s="17" t="s">
        <v>1026</v>
      </c>
      <c r="K620" s="17"/>
      <c r="L620" s="17"/>
      <c r="AC620" s="1301"/>
    </row>
    <row r="621">
      <c r="B621" s="17"/>
      <c r="C621" s="17"/>
      <c r="D621" s="17"/>
      <c r="E621" s="343"/>
      <c r="F621" s="17"/>
      <c r="G621" s="17"/>
      <c r="H621" s="17"/>
      <c r="I621" s="17"/>
      <c r="J621" s="17" t="s">
        <v>1026</v>
      </c>
      <c r="K621" s="17"/>
      <c r="L621" s="17"/>
      <c r="AC621" s="1301"/>
    </row>
    <row r="622">
      <c r="B622" s="17"/>
      <c r="C622" s="17"/>
      <c r="D622" s="17"/>
      <c r="E622" s="343"/>
      <c r="F622" s="17"/>
      <c r="G622" s="17"/>
      <c r="H622" s="17"/>
      <c r="I622" s="17"/>
      <c r="J622" s="17" t="s">
        <v>1026</v>
      </c>
      <c r="K622" s="17"/>
      <c r="L622" s="17"/>
      <c r="AC622" s="1301"/>
    </row>
    <row r="623">
      <c r="B623" s="17"/>
      <c r="C623" s="17"/>
      <c r="D623" s="17"/>
      <c r="E623" s="343"/>
      <c r="F623" s="17"/>
      <c r="G623" s="17"/>
      <c r="H623" s="17"/>
      <c r="I623" s="17"/>
      <c r="J623" s="17" t="s">
        <v>1026</v>
      </c>
      <c r="K623" s="17"/>
      <c r="L623" s="17"/>
      <c r="AC623" s="1301"/>
    </row>
    <row r="624">
      <c r="B624" s="17"/>
      <c r="C624" s="17"/>
      <c r="D624" s="17"/>
      <c r="E624" s="343"/>
      <c r="F624" s="17"/>
      <c r="G624" s="17"/>
      <c r="H624" s="17"/>
      <c r="I624" s="17"/>
      <c r="J624" s="17" t="s">
        <v>1026</v>
      </c>
      <c r="K624" s="17"/>
      <c r="L624" s="17"/>
      <c r="AC624" s="1301"/>
    </row>
    <row r="625">
      <c r="B625" s="17"/>
      <c r="C625" s="17"/>
      <c r="D625" s="17"/>
      <c r="E625" s="343"/>
      <c r="F625" s="17"/>
      <c r="G625" s="17"/>
      <c r="H625" s="17"/>
      <c r="I625" s="17"/>
      <c r="J625" s="17" t="s">
        <v>1026</v>
      </c>
      <c r="K625" s="17"/>
      <c r="L625" s="17"/>
      <c r="AC625" s="1301"/>
    </row>
    <row r="626">
      <c r="B626" s="17"/>
      <c r="C626" s="17"/>
      <c r="D626" s="17"/>
      <c r="E626" s="343"/>
      <c r="F626" s="17"/>
      <c r="G626" s="17"/>
      <c r="H626" s="17"/>
      <c r="I626" s="17"/>
      <c r="J626" s="17" t="s">
        <v>1026</v>
      </c>
      <c r="K626" s="17"/>
      <c r="L626" s="17"/>
      <c r="AC626" s="1301"/>
    </row>
    <row r="627">
      <c r="B627" s="17"/>
      <c r="C627" s="17"/>
      <c r="D627" s="17"/>
      <c r="E627" s="343"/>
      <c r="F627" s="17"/>
      <c r="G627" s="17"/>
      <c r="H627" s="17"/>
      <c r="I627" s="17"/>
      <c r="J627" s="17" t="s">
        <v>1026</v>
      </c>
      <c r="K627" s="17"/>
      <c r="L627" s="17"/>
      <c r="AC627" s="1301"/>
    </row>
    <row r="628">
      <c r="B628" s="17"/>
      <c r="C628" s="17"/>
      <c r="D628" s="17"/>
      <c r="E628" s="343"/>
      <c r="F628" s="17"/>
      <c r="G628" s="17"/>
      <c r="H628" s="17"/>
      <c r="I628" s="17"/>
      <c r="J628" s="17" t="s">
        <v>1026</v>
      </c>
      <c r="K628" s="17"/>
      <c r="L628" s="17"/>
      <c r="AC628" s="1301"/>
    </row>
    <row r="629">
      <c r="B629" s="17"/>
      <c r="C629" s="17"/>
      <c r="D629" s="17"/>
      <c r="E629" s="343"/>
      <c r="F629" s="17"/>
      <c r="G629" s="17"/>
      <c r="H629" s="17"/>
      <c r="I629" s="17"/>
      <c r="J629" s="17" t="s">
        <v>1026</v>
      </c>
      <c r="K629" s="17"/>
      <c r="L629" s="17"/>
      <c r="AC629" s="1301"/>
    </row>
    <row r="630">
      <c r="B630" s="17"/>
      <c r="C630" s="17"/>
      <c r="D630" s="17"/>
      <c r="E630" s="343"/>
      <c r="F630" s="17"/>
      <c r="G630" s="17"/>
      <c r="H630" s="17"/>
      <c r="I630" s="17"/>
      <c r="J630" s="17" t="s">
        <v>1026</v>
      </c>
      <c r="K630" s="17"/>
      <c r="L630" s="17"/>
      <c r="AC630" s="1301"/>
    </row>
    <row r="631">
      <c r="B631" s="17"/>
      <c r="C631" s="17"/>
      <c r="D631" s="17"/>
      <c r="E631" s="343"/>
      <c r="F631" s="17"/>
      <c r="G631" s="17"/>
      <c r="H631" s="17"/>
      <c r="I631" s="17"/>
      <c r="J631" s="17" t="s">
        <v>1026</v>
      </c>
      <c r="K631" s="17"/>
      <c r="L631" s="17"/>
      <c r="AC631" s="1301"/>
    </row>
    <row r="632">
      <c r="B632" s="17"/>
      <c r="C632" s="17"/>
      <c r="D632" s="17"/>
      <c r="E632" s="343"/>
      <c r="F632" s="17"/>
      <c r="G632" s="17"/>
      <c r="H632" s="17"/>
      <c r="I632" s="17"/>
      <c r="J632" s="17" t="s">
        <v>1026</v>
      </c>
      <c r="K632" s="17"/>
      <c r="L632" s="17"/>
      <c r="AC632" s="1301"/>
    </row>
    <row r="633">
      <c r="B633" s="17"/>
      <c r="C633" s="17"/>
      <c r="D633" s="17"/>
      <c r="E633" s="343"/>
      <c r="F633" s="17"/>
      <c r="G633" s="17"/>
      <c r="H633" s="17"/>
      <c r="I633" s="17"/>
      <c r="J633" s="17" t="s">
        <v>1026</v>
      </c>
      <c r="K633" s="17"/>
      <c r="L633" s="17"/>
      <c r="AC633" s="1301"/>
    </row>
    <row r="634">
      <c r="B634" s="17"/>
      <c r="C634" s="17"/>
      <c r="D634" s="17"/>
      <c r="E634" s="343"/>
      <c r="F634" s="17"/>
      <c r="G634" s="17"/>
      <c r="H634" s="17"/>
      <c r="I634" s="17"/>
      <c r="J634" s="17" t="s">
        <v>1026</v>
      </c>
      <c r="K634" s="17"/>
      <c r="L634" s="17"/>
      <c r="AC634" s="1301"/>
    </row>
    <row r="635">
      <c r="B635" s="17"/>
      <c r="C635" s="17"/>
      <c r="D635" s="17"/>
      <c r="E635" s="343"/>
      <c r="F635" s="17"/>
      <c r="G635" s="17"/>
      <c r="H635" s="17"/>
      <c r="I635" s="17"/>
      <c r="J635" s="17" t="s">
        <v>1026</v>
      </c>
      <c r="K635" s="17"/>
      <c r="L635" s="17"/>
      <c r="AC635" s="1301"/>
    </row>
    <row r="636">
      <c r="B636" s="17"/>
      <c r="C636" s="17"/>
      <c r="D636" s="17"/>
      <c r="E636" s="343"/>
      <c r="F636" s="17"/>
      <c r="G636" s="17"/>
      <c r="H636" s="17"/>
      <c r="I636" s="17"/>
      <c r="J636" s="17" t="s">
        <v>1026</v>
      </c>
      <c r="K636" s="17"/>
      <c r="L636" s="17"/>
      <c r="AC636" s="1301"/>
    </row>
    <row r="637">
      <c r="B637" s="17"/>
      <c r="C637" s="17"/>
      <c r="D637" s="17"/>
      <c r="E637" s="343"/>
      <c r="F637" s="17"/>
      <c r="G637" s="17"/>
      <c r="H637" s="17"/>
      <c r="I637" s="17"/>
      <c r="J637" s="17" t="s">
        <v>1026</v>
      </c>
      <c r="K637" s="17"/>
      <c r="L637" s="17"/>
      <c r="AC637" s="1301"/>
    </row>
    <row r="638">
      <c r="B638" s="17"/>
      <c r="C638" s="17"/>
      <c r="D638" s="17"/>
      <c r="E638" s="343"/>
      <c r="F638" s="17"/>
      <c r="G638" s="17"/>
      <c r="H638" s="17"/>
      <c r="I638" s="17"/>
      <c r="J638" s="17" t="s">
        <v>1026</v>
      </c>
      <c r="K638" s="17"/>
      <c r="L638" s="17"/>
      <c r="AC638" s="1301"/>
    </row>
    <row r="639">
      <c r="B639" s="17"/>
      <c r="C639" s="17"/>
      <c r="D639" s="17"/>
      <c r="E639" s="343"/>
      <c r="F639" s="17"/>
      <c r="G639" s="17"/>
      <c r="H639" s="17"/>
      <c r="I639" s="17"/>
      <c r="J639" s="17" t="s">
        <v>1026</v>
      </c>
      <c r="K639" s="17"/>
      <c r="L639" s="17"/>
      <c r="AC639" s="1301"/>
    </row>
    <row r="640">
      <c r="B640" s="17"/>
      <c r="C640" s="17"/>
      <c r="D640" s="17"/>
      <c r="E640" s="343"/>
      <c r="F640" s="17"/>
      <c r="G640" s="17"/>
      <c r="H640" s="17"/>
      <c r="I640" s="17"/>
      <c r="J640" s="17" t="s">
        <v>1026</v>
      </c>
      <c r="K640" s="17"/>
      <c r="L640" s="17"/>
      <c r="AC640" s="1301"/>
    </row>
    <row r="641">
      <c r="B641" s="17"/>
      <c r="C641" s="17"/>
      <c r="D641" s="17"/>
      <c r="E641" s="343"/>
      <c r="F641" s="17"/>
      <c r="G641" s="17"/>
      <c r="H641" s="17"/>
      <c r="I641" s="17"/>
      <c r="J641" s="17" t="s">
        <v>1026</v>
      </c>
      <c r="K641" s="17"/>
      <c r="L641" s="17"/>
      <c r="AC641" s="1301"/>
    </row>
    <row r="642">
      <c r="B642" s="17"/>
      <c r="C642" s="17"/>
      <c r="D642" s="17"/>
      <c r="E642" s="343"/>
      <c r="F642" s="17"/>
      <c r="G642" s="17"/>
      <c r="H642" s="17"/>
      <c r="I642" s="17"/>
      <c r="J642" s="17" t="s">
        <v>1026</v>
      </c>
      <c r="K642" s="17"/>
      <c r="L642" s="17"/>
      <c r="AC642" s="1301"/>
    </row>
    <row r="643">
      <c r="B643" s="17"/>
      <c r="C643" s="17"/>
      <c r="D643" s="17"/>
      <c r="E643" s="343"/>
      <c r="F643" s="17"/>
      <c r="G643" s="17"/>
      <c r="H643" s="17"/>
      <c r="I643" s="17"/>
      <c r="J643" s="17" t="s">
        <v>1026</v>
      </c>
      <c r="K643" s="17"/>
      <c r="L643" s="17"/>
      <c r="AC643" s="1301"/>
    </row>
    <row r="644">
      <c r="B644" s="17"/>
      <c r="C644" s="17"/>
      <c r="D644" s="17"/>
      <c r="E644" s="343"/>
      <c r="F644" s="17"/>
      <c r="G644" s="17"/>
      <c r="H644" s="17"/>
      <c r="I644" s="17"/>
      <c r="J644" s="17" t="s">
        <v>1026</v>
      </c>
      <c r="K644" s="17"/>
      <c r="L644" s="17"/>
      <c r="AC644" s="1301"/>
    </row>
    <row r="645">
      <c r="B645" s="17"/>
      <c r="C645" s="17"/>
      <c r="D645" s="17"/>
      <c r="E645" s="343"/>
      <c r="F645" s="17"/>
      <c r="G645" s="17"/>
      <c r="H645" s="17"/>
      <c r="I645" s="17"/>
      <c r="J645" s="17" t="s">
        <v>1026</v>
      </c>
      <c r="K645" s="17"/>
      <c r="L645" s="17"/>
      <c r="AC645" s="1301"/>
    </row>
    <row r="646">
      <c r="B646" s="17"/>
      <c r="C646" s="17"/>
      <c r="D646" s="17"/>
      <c r="E646" s="343"/>
      <c r="F646" s="17"/>
      <c r="G646" s="17"/>
      <c r="H646" s="17"/>
      <c r="I646" s="17"/>
      <c r="J646" s="17" t="s">
        <v>1026</v>
      </c>
      <c r="K646" s="17"/>
      <c r="L646" s="17"/>
      <c r="AC646" s="1301"/>
    </row>
    <row r="647">
      <c r="B647" s="17"/>
      <c r="C647" s="17"/>
      <c r="D647" s="17"/>
      <c r="E647" s="343"/>
      <c r="F647" s="17"/>
      <c r="G647" s="17"/>
      <c r="H647" s="17"/>
      <c r="I647" s="17"/>
      <c r="J647" s="17" t="s">
        <v>1026</v>
      </c>
      <c r="K647" s="17"/>
      <c r="L647" s="17"/>
      <c r="AC647" s="1301"/>
    </row>
    <row r="648">
      <c r="B648" s="17"/>
      <c r="C648" s="17"/>
      <c r="D648" s="17"/>
      <c r="E648" s="343"/>
      <c r="F648" s="17"/>
      <c r="G648" s="17"/>
      <c r="H648" s="17"/>
      <c r="I648" s="17"/>
      <c r="J648" s="17" t="s">
        <v>1026</v>
      </c>
      <c r="K648" s="17"/>
      <c r="L648" s="17"/>
      <c r="AC648" s="1301"/>
    </row>
    <row r="649">
      <c r="B649" s="17"/>
      <c r="C649" s="17"/>
      <c r="D649" s="17"/>
      <c r="E649" s="343"/>
      <c r="F649" s="17"/>
      <c r="G649" s="17"/>
      <c r="H649" s="17"/>
      <c r="I649" s="17"/>
      <c r="J649" s="17" t="s">
        <v>1026</v>
      </c>
      <c r="K649" s="17"/>
      <c r="L649" s="17"/>
      <c r="AC649" s="1301"/>
    </row>
    <row r="650">
      <c r="B650" s="17"/>
      <c r="C650" s="17"/>
      <c r="D650" s="17"/>
      <c r="E650" s="343"/>
      <c r="F650" s="17"/>
      <c r="G650" s="17"/>
      <c r="H650" s="17"/>
      <c r="I650" s="17"/>
      <c r="J650" s="17" t="s">
        <v>1026</v>
      </c>
      <c r="K650" s="17"/>
      <c r="L650" s="17"/>
      <c r="AC650" s="1301"/>
    </row>
    <row r="651">
      <c r="B651" s="17"/>
      <c r="C651" s="17"/>
      <c r="D651" s="17"/>
      <c r="E651" s="343"/>
      <c r="F651" s="17"/>
      <c r="G651" s="17"/>
      <c r="H651" s="17"/>
      <c r="I651" s="17"/>
      <c r="J651" s="17" t="s">
        <v>1026</v>
      </c>
      <c r="K651" s="17"/>
      <c r="L651" s="17"/>
      <c r="AC651" s="1301"/>
    </row>
    <row r="652">
      <c r="B652" s="17"/>
      <c r="C652" s="17"/>
      <c r="D652" s="17"/>
      <c r="E652" s="343"/>
      <c r="F652" s="17"/>
      <c r="G652" s="17"/>
      <c r="H652" s="17"/>
      <c r="I652" s="17"/>
      <c r="J652" s="17" t="s">
        <v>1026</v>
      </c>
      <c r="K652" s="17"/>
      <c r="L652" s="17"/>
      <c r="AC652" s="1301"/>
    </row>
    <row r="653">
      <c r="B653" s="17"/>
      <c r="C653" s="17"/>
      <c r="D653" s="17"/>
      <c r="E653" s="343"/>
      <c r="F653" s="17"/>
      <c r="G653" s="17"/>
      <c r="H653" s="17"/>
      <c r="I653" s="17"/>
      <c r="J653" s="17" t="s">
        <v>1026</v>
      </c>
      <c r="K653" s="17"/>
      <c r="L653" s="17"/>
      <c r="AC653" s="1301"/>
    </row>
    <row r="654">
      <c r="B654" s="17"/>
      <c r="C654" s="17"/>
      <c r="D654" s="17"/>
      <c r="E654" s="343"/>
      <c r="F654" s="17"/>
      <c r="G654" s="17"/>
      <c r="H654" s="17"/>
      <c r="I654" s="17"/>
      <c r="J654" s="17" t="s">
        <v>1026</v>
      </c>
      <c r="K654" s="17"/>
      <c r="L654" s="17"/>
      <c r="AC654" s="1301"/>
    </row>
    <row r="655">
      <c r="B655" s="17"/>
      <c r="C655" s="17"/>
      <c r="D655" s="17"/>
      <c r="E655" s="343"/>
      <c r="F655" s="17"/>
      <c r="G655" s="17"/>
      <c r="H655" s="17"/>
      <c r="I655" s="17"/>
      <c r="J655" s="17" t="s">
        <v>1026</v>
      </c>
      <c r="K655" s="17"/>
      <c r="L655" s="17"/>
      <c r="AC655" s="1301"/>
    </row>
    <row r="656">
      <c r="B656" s="17"/>
      <c r="C656" s="17"/>
      <c r="D656" s="17"/>
      <c r="E656" s="343"/>
      <c r="F656" s="17"/>
      <c r="G656" s="17"/>
      <c r="H656" s="17"/>
      <c r="I656" s="17"/>
      <c r="J656" s="17" t="s">
        <v>1026</v>
      </c>
      <c r="K656" s="17"/>
      <c r="L656" s="17"/>
      <c r="AC656" s="1301"/>
    </row>
    <row r="657">
      <c r="B657" s="17"/>
      <c r="C657" s="17"/>
      <c r="D657" s="17"/>
      <c r="E657" s="343"/>
      <c r="F657" s="17"/>
      <c r="G657" s="17"/>
      <c r="H657" s="17"/>
      <c r="I657" s="17"/>
      <c r="J657" s="17" t="s">
        <v>1026</v>
      </c>
      <c r="K657" s="17"/>
      <c r="L657" s="17"/>
      <c r="AC657" s="1301"/>
    </row>
    <row r="658">
      <c r="B658" s="17"/>
      <c r="C658" s="17"/>
      <c r="D658" s="17"/>
      <c r="E658" s="343"/>
      <c r="F658" s="17"/>
      <c r="G658" s="17"/>
      <c r="H658" s="17"/>
      <c r="I658" s="17"/>
      <c r="J658" s="17" t="s">
        <v>1026</v>
      </c>
      <c r="K658" s="17"/>
      <c r="L658" s="17"/>
      <c r="AC658" s="1301"/>
    </row>
    <row r="659">
      <c r="B659" s="17"/>
      <c r="C659" s="17"/>
      <c r="D659" s="17"/>
      <c r="E659" s="343"/>
      <c r="F659" s="17"/>
      <c r="G659" s="17"/>
      <c r="H659" s="17"/>
      <c r="I659" s="17"/>
      <c r="J659" s="17" t="s">
        <v>1026</v>
      </c>
      <c r="K659" s="17"/>
      <c r="L659" s="17"/>
      <c r="AC659" s="1301"/>
    </row>
    <row r="660">
      <c r="B660" s="17"/>
      <c r="C660" s="17"/>
      <c r="D660" s="17"/>
      <c r="E660" s="343"/>
      <c r="F660" s="17"/>
      <c r="G660" s="17"/>
      <c r="H660" s="17"/>
      <c r="I660" s="17"/>
      <c r="J660" s="17" t="s">
        <v>1026</v>
      </c>
      <c r="K660" s="17"/>
      <c r="L660" s="17"/>
      <c r="AC660" s="1301"/>
    </row>
    <row r="661">
      <c r="B661" s="17"/>
      <c r="C661" s="17"/>
      <c r="D661" s="17"/>
      <c r="E661" s="343"/>
      <c r="F661" s="17"/>
      <c r="G661" s="17"/>
      <c r="H661" s="17"/>
      <c r="I661" s="17"/>
      <c r="J661" s="17" t="s">
        <v>1026</v>
      </c>
      <c r="K661" s="17"/>
      <c r="L661" s="17"/>
      <c r="AC661" s="1301"/>
    </row>
    <row r="662">
      <c r="B662" s="17"/>
      <c r="C662" s="17"/>
      <c r="D662" s="17"/>
      <c r="E662" s="343"/>
      <c r="F662" s="17"/>
      <c r="G662" s="17"/>
      <c r="H662" s="17"/>
      <c r="I662" s="17"/>
      <c r="J662" s="17" t="s">
        <v>1026</v>
      </c>
      <c r="K662" s="17"/>
      <c r="L662" s="17"/>
      <c r="AC662" s="1301"/>
    </row>
    <row r="663">
      <c r="B663" s="17"/>
      <c r="C663" s="17"/>
      <c r="D663" s="17"/>
      <c r="E663" s="343"/>
      <c r="F663" s="17"/>
      <c r="G663" s="17"/>
      <c r="H663" s="17"/>
      <c r="I663" s="17"/>
      <c r="J663" s="17" t="s">
        <v>1026</v>
      </c>
      <c r="K663" s="17"/>
      <c r="L663" s="17"/>
      <c r="AC663" s="1301"/>
    </row>
    <row r="664">
      <c r="B664" s="17"/>
      <c r="C664" s="17"/>
      <c r="D664" s="17"/>
      <c r="E664" s="343"/>
      <c r="F664" s="17"/>
      <c r="G664" s="17"/>
      <c r="H664" s="17"/>
      <c r="I664" s="17"/>
      <c r="J664" s="17" t="s">
        <v>1026</v>
      </c>
      <c r="K664" s="17"/>
      <c r="L664" s="17"/>
      <c r="AC664" s="1301"/>
    </row>
    <row r="665">
      <c r="B665" s="17"/>
      <c r="C665" s="17"/>
      <c r="D665" s="17"/>
      <c r="E665" s="343"/>
      <c r="F665" s="17"/>
      <c r="G665" s="17"/>
      <c r="H665" s="17"/>
      <c r="I665" s="17"/>
      <c r="J665" s="17" t="s">
        <v>1026</v>
      </c>
      <c r="K665" s="17"/>
      <c r="L665" s="17"/>
      <c r="AC665" s="1301"/>
    </row>
    <row r="666">
      <c r="B666" s="17"/>
      <c r="C666" s="17"/>
      <c r="D666" s="17"/>
      <c r="E666" s="343"/>
      <c r="F666" s="17"/>
      <c r="G666" s="17"/>
      <c r="H666" s="17"/>
      <c r="I666" s="17"/>
      <c r="J666" s="17" t="s">
        <v>1026</v>
      </c>
      <c r="K666" s="17"/>
      <c r="L666" s="17"/>
      <c r="AC666" s="1301"/>
    </row>
    <row r="667">
      <c r="B667" s="17"/>
      <c r="C667" s="17"/>
      <c r="D667" s="17"/>
      <c r="E667" s="343"/>
      <c r="F667" s="17"/>
      <c r="G667" s="17"/>
      <c r="H667" s="17"/>
      <c r="I667" s="17"/>
      <c r="J667" s="17" t="s">
        <v>1026</v>
      </c>
      <c r="K667" s="17"/>
      <c r="L667" s="17"/>
      <c r="AC667" s="1301"/>
    </row>
    <row r="668">
      <c r="B668" s="17"/>
      <c r="C668" s="17"/>
      <c r="D668" s="17"/>
      <c r="E668" s="343"/>
      <c r="F668" s="17"/>
      <c r="G668" s="17"/>
      <c r="H668" s="17"/>
      <c r="I668" s="17"/>
      <c r="J668" s="17" t="s">
        <v>1026</v>
      </c>
      <c r="K668" s="17"/>
      <c r="L668" s="17"/>
      <c r="AC668" s="1301"/>
    </row>
    <row r="669">
      <c r="B669" s="17"/>
      <c r="C669" s="17"/>
      <c r="D669" s="17"/>
      <c r="E669" s="343"/>
      <c r="F669" s="17"/>
      <c r="G669" s="17"/>
      <c r="H669" s="17"/>
      <c r="I669" s="17"/>
      <c r="J669" s="17" t="s">
        <v>1026</v>
      </c>
      <c r="K669" s="17"/>
      <c r="L669" s="17"/>
      <c r="AC669" s="1301"/>
    </row>
    <row r="670">
      <c r="B670" s="17"/>
      <c r="C670" s="17"/>
      <c r="D670" s="17"/>
      <c r="E670" s="343"/>
      <c r="F670" s="17"/>
      <c r="G670" s="17"/>
      <c r="H670" s="17"/>
      <c r="I670" s="17"/>
      <c r="J670" s="17" t="s">
        <v>1026</v>
      </c>
      <c r="K670" s="17"/>
      <c r="L670" s="17"/>
      <c r="AC670" s="1301"/>
    </row>
    <row r="671">
      <c r="B671" s="17"/>
      <c r="C671" s="17"/>
      <c r="D671" s="17"/>
      <c r="E671" s="343"/>
      <c r="F671" s="17"/>
      <c r="G671" s="17"/>
      <c r="H671" s="17"/>
      <c r="I671" s="17"/>
      <c r="J671" s="17" t="s">
        <v>1026</v>
      </c>
      <c r="K671" s="17"/>
      <c r="L671" s="17"/>
      <c r="AC671" s="1301"/>
    </row>
    <row r="672">
      <c r="B672" s="17"/>
      <c r="C672" s="17"/>
      <c r="D672" s="17"/>
      <c r="E672" s="343"/>
      <c r="F672" s="17"/>
      <c r="G672" s="17"/>
      <c r="H672" s="17"/>
      <c r="I672" s="17"/>
      <c r="J672" s="17" t="s">
        <v>1026</v>
      </c>
      <c r="K672" s="17"/>
      <c r="L672" s="17"/>
      <c r="AC672" s="1301"/>
    </row>
    <row r="673">
      <c r="B673" s="17"/>
      <c r="C673" s="17"/>
      <c r="D673" s="17"/>
      <c r="E673" s="343"/>
      <c r="F673" s="17"/>
      <c r="G673" s="17"/>
      <c r="H673" s="17"/>
      <c r="I673" s="17"/>
      <c r="J673" s="17" t="s">
        <v>1026</v>
      </c>
      <c r="K673" s="17"/>
      <c r="L673" s="17"/>
      <c r="AC673" s="1301"/>
    </row>
    <row r="674">
      <c r="B674" s="17"/>
      <c r="C674" s="17"/>
      <c r="D674" s="17"/>
      <c r="E674" s="343"/>
      <c r="F674" s="17"/>
      <c r="G674" s="17"/>
      <c r="H674" s="17"/>
      <c r="I674" s="17"/>
      <c r="J674" s="17" t="s">
        <v>1026</v>
      </c>
      <c r="K674" s="17"/>
      <c r="L674" s="17"/>
      <c r="AC674" s="1301"/>
    </row>
    <row r="675">
      <c r="B675" s="17"/>
      <c r="C675" s="17"/>
      <c r="D675" s="17"/>
      <c r="E675" s="343"/>
      <c r="F675" s="17"/>
      <c r="G675" s="17"/>
      <c r="H675" s="17"/>
      <c r="I675" s="17"/>
      <c r="J675" s="17" t="s">
        <v>1026</v>
      </c>
      <c r="K675" s="17"/>
      <c r="L675" s="17"/>
      <c r="AC675" s="1301"/>
    </row>
    <row r="676">
      <c r="B676" s="17"/>
      <c r="C676" s="17"/>
      <c r="D676" s="17"/>
      <c r="E676" s="343"/>
      <c r="F676" s="17"/>
      <c r="G676" s="17"/>
      <c r="H676" s="17"/>
      <c r="I676" s="17"/>
      <c r="J676" s="17" t="s">
        <v>1026</v>
      </c>
      <c r="K676" s="17"/>
      <c r="L676" s="17"/>
      <c r="AC676" s="1301"/>
    </row>
    <row r="677">
      <c r="B677" s="17"/>
      <c r="C677" s="17"/>
      <c r="D677" s="17"/>
      <c r="E677" s="343"/>
      <c r="F677" s="17"/>
      <c r="G677" s="17"/>
      <c r="H677" s="17"/>
      <c r="I677" s="17"/>
      <c r="J677" s="17" t="s">
        <v>1026</v>
      </c>
      <c r="K677" s="17"/>
      <c r="L677" s="17"/>
      <c r="AC677" s="1301"/>
    </row>
    <row r="678">
      <c r="B678" s="17"/>
      <c r="C678" s="17"/>
      <c r="D678" s="17"/>
      <c r="E678" s="343"/>
      <c r="F678" s="17"/>
      <c r="G678" s="17"/>
      <c r="H678" s="17"/>
      <c r="I678" s="17"/>
      <c r="J678" s="17" t="s">
        <v>1026</v>
      </c>
      <c r="K678" s="17"/>
      <c r="L678" s="17"/>
      <c r="AC678" s="1301"/>
    </row>
    <row r="679">
      <c r="B679" s="17"/>
      <c r="C679" s="17"/>
      <c r="D679" s="17"/>
      <c r="E679" s="343"/>
      <c r="F679" s="17"/>
      <c r="G679" s="17"/>
      <c r="H679" s="17"/>
      <c r="I679" s="17"/>
      <c r="J679" s="17" t="s">
        <v>1026</v>
      </c>
      <c r="K679" s="17"/>
      <c r="L679" s="17"/>
      <c r="AC679" s="1301"/>
    </row>
    <row r="680">
      <c r="B680" s="17"/>
      <c r="C680" s="17"/>
      <c r="D680" s="17"/>
      <c r="E680" s="343"/>
      <c r="F680" s="17"/>
      <c r="G680" s="17"/>
      <c r="H680" s="17"/>
      <c r="I680" s="17"/>
      <c r="J680" s="17" t="s">
        <v>1026</v>
      </c>
      <c r="K680" s="17"/>
      <c r="L680" s="17"/>
      <c r="AC680" s="1301"/>
    </row>
    <row r="681">
      <c r="B681" s="17"/>
      <c r="C681" s="17"/>
      <c r="D681" s="17"/>
      <c r="E681" s="343"/>
      <c r="F681" s="17"/>
      <c r="G681" s="17"/>
      <c r="H681" s="17"/>
      <c r="I681" s="17"/>
      <c r="J681" s="17" t="s">
        <v>1026</v>
      </c>
      <c r="K681" s="17"/>
      <c r="L681" s="17"/>
      <c r="AC681" s="1301"/>
    </row>
    <row r="682">
      <c r="B682" s="17"/>
      <c r="C682" s="17"/>
      <c r="D682" s="17"/>
      <c r="E682" s="343"/>
      <c r="F682" s="17"/>
      <c r="G682" s="17"/>
      <c r="H682" s="17"/>
      <c r="I682" s="17"/>
      <c r="J682" s="17" t="s">
        <v>1026</v>
      </c>
      <c r="K682" s="17"/>
      <c r="L682" s="17"/>
      <c r="AC682" s="1301"/>
    </row>
    <row r="683">
      <c r="B683" s="17"/>
      <c r="C683" s="17"/>
      <c r="D683" s="17"/>
      <c r="E683" s="343"/>
      <c r="F683" s="17"/>
      <c r="G683" s="17"/>
      <c r="H683" s="17"/>
      <c r="I683" s="17"/>
      <c r="J683" s="17" t="s">
        <v>1026</v>
      </c>
      <c r="K683" s="17"/>
      <c r="L683" s="17"/>
      <c r="AC683" s="1301"/>
    </row>
    <row r="684">
      <c r="B684" s="17"/>
      <c r="C684" s="17"/>
      <c r="D684" s="17"/>
      <c r="E684" s="343"/>
      <c r="F684" s="17"/>
      <c r="G684" s="17"/>
      <c r="H684" s="17"/>
      <c r="I684" s="17"/>
      <c r="J684" s="17" t="s">
        <v>1026</v>
      </c>
      <c r="K684" s="17"/>
      <c r="L684" s="17"/>
      <c r="AC684" s="1301"/>
    </row>
    <row r="685">
      <c r="B685" s="17"/>
      <c r="C685" s="17"/>
      <c r="D685" s="17"/>
      <c r="E685" s="343"/>
      <c r="F685" s="17"/>
      <c r="G685" s="17"/>
      <c r="H685" s="17"/>
      <c r="I685" s="17"/>
      <c r="J685" s="17" t="s">
        <v>1026</v>
      </c>
      <c r="K685" s="17"/>
      <c r="L685" s="17"/>
      <c r="AC685" s="1301"/>
    </row>
    <row r="686">
      <c r="B686" s="17"/>
      <c r="C686" s="17"/>
      <c r="D686" s="17"/>
      <c r="E686" s="343"/>
      <c r="F686" s="17"/>
      <c r="G686" s="17"/>
      <c r="H686" s="17"/>
      <c r="I686" s="17"/>
      <c r="J686" s="17" t="s">
        <v>1026</v>
      </c>
      <c r="K686" s="17"/>
      <c r="L686" s="17"/>
      <c r="AC686" s="1301"/>
    </row>
    <row r="687">
      <c r="B687" s="17"/>
      <c r="C687" s="17"/>
      <c r="D687" s="17"/>
      <c r="E687" s="343"/>
      <c r="F687" s="17"/>
      <c r="G687" s="17"/>
      <c r="H687" s="17"/>
      <c r="I687" s="17"/>
      <c r="J687" s="17" t="s">
        <v>1026</v>
      </c>
      <c r="K687" s="17"/>
      <c r="L687" s="17"/>
      <c r="AC687" s="1301"/>
    </row>
    <row r="688">
      <c r="B688" s="17"/>
      <c r="C688" s="17"/>
      <c r="D688" s="17"/>
      <c r="E688" s="343"/>
      <c r="F688" s="17"/>
      <c r="G688" s="17"/>
      <c r="H688" s="17"/>
      <c r="I688" s="17"/>
      <c r="J688" s="17" t="s">
        <v>1026</v>
      </c>
      <c r="K688" s="17"/>
      <c r="L688" s="17"/>
      <c r="AC688" s="1301"/>
    </row>
    <row r="689">
      <c r="B689" s="17"/>
      <c r="C689" s="17"/>
      <c r="D689" s="17"/>
      <c r="E689" s="343"/>
      <c r="F689" s="17"/>
      <c r="G689" s="17"/>
      <c r="H689" s="17"/>
      <c r="I689" s="17"/>
      <c r="J689" s="17" t="s">
        <v>1026</v>
      </c>
      <c r="K689" s="17"/>
      <c r="L689" s="17"/>
      <c r="AC689" s="1301"/>
    </row>
    <row r="690">
      <c r="B690" s="17"/>
      <c r="C690" s="17"/>
      <c r="D690" s="17"/>
      <c r="E690" s="343"/>
      <c r="F690" s="17"/>
      <c r="G690" s="17"/>
      <c r="H690" s="17"/>
      <c r="I690" s="17"/>
      <c r="J690" s="17" t="s">
        <v>1026</v>
      </c>
      <c r="K690" s="17"/>
      <c r="L690" s="17"/>
      <c r="AC690" s="1301"/>
    </row>
    <row r="691">
      <c r="B691" s="17"/>
      <c r="C691" s="17"/>
      <c r="D691" s="17"/>
      <c r="E691" s="343"/>
      <c r="F691" s="17"/>
      <c r="G691" s="17"/>
      <c r="H691" s="17"/>
      <c r="I691" s="17"/>
      <c r="J691" s="17" t="s">
        <v>1026</v>
      </c>
      <c r="K691" s="17"/>
      <c r="L691" s="17"/>
      <c r="AC691" s="1301"/>
    </row>
    <row r="692">
      <c r="B692" s="17"/>
      <c r="C692" s="17"/>
      <c r="D692" s="17"/>
      <c r="E692" s="343"/>
      <c r="F692" s="17"/>
      <c r="G692" s="17"/>
      <c r="H692" s="17"/>
      <c r="I692" s="17"/>
      <c r="J692" s="17" t="s">
        <v>1026</v>
      </c>
      <c r="K692" s="17"/>
      <c r="L692" s="17"/>
      <c r="AC692" s="1301"/>
    </row>
    <row r="693">
      <c r="B693" s="17"/>
      <c r="C693" s="17"/>
      <c r="D693" s="17"/>
      <c r="E693" s="343"/>
      <c r="F693" s="17"/>
      <c r="G693" s="17"/>
      <c r="H693" s="17"/>
      <c r="I693" s="17"/>
      <c r="J693" s="17" t="s">
        <v>1026</v>
      </c>
      <c r="K693" s="17"/>
      <c r="L693" s="17"/>
      <c r="AC693" s="1301"/>
    </row>
    <row r="694">
      <c r="B694" s="17"/>
      <c r="C694" s="17"/>
      <c r="D694" s="17"/>
      <c r="E694" s="343"/>
      <c r="F694" s="17"/>
      <c r="G694" s="17"/>
      <c r="H694" s="17"/>
      <c r="I694" s="17"/>
      <c r="J694" s="17" t="s">
        <v>1026</v>
      </c>
      <c r="K694" s="17"/>
      <c r="L694" s="17"/>
      <c r="AC694" s="1301"/>
    </row>
    <row r="695">
      <c r="B695" s="17"/>
      <c r="C695" s="17"/>
      <c r="D695" s="17"/>
      <c r="E695" s="343"/>
      <c r="F695" s="17"/>
      <c r="G695" s="17"/>
      <c r="H695" s="17"/>
      <c r="I695" s="17"/>
      <c r="J695" s="17" t="s">
        <v>1026</v>
      </c>
      <c r="K695" s="17"/>
      <c r="L695" s="17"/>
      <c r="AC695" s="1301"/>
    </row>
    <row r="696">
      <c r="B696" s="17"/>
      <c r="C696" s="17"/>
      <c r="D696" s="17"/>
      <c r="E696" s="343"/>
      <c r="F696" s="17"/>
      <c r="G696" s="17"/>
      <c r="H696" s="17"/>
      <c r="I696" s="17"/>
      <c r="J696" s="17" t="s">
        <v>1026</v>
      </c>
      <c r="K696" s="17"/>
      <c r="L696" s="17"/>
      <c r="AC696" s="1301"/>
    </row>
    <row r="697">
      <c r="B697" s="17"/>
      <c r="C697" s="17"/>
      <c r="D697" s="17"/>
      <c r="E697" s="343"/>
      <c r="F697" s="17"/>
      <c r="G697" s="17"/>
      <c r="H697" s="17"/>
      <c r="I697" s="17"/>
      <c r="J697" s="17" t="s">
        <v>1026</v>
      </c>
      <c r="K697" s="17"/>
      <c r="L697" s="17"/>
      <c r="AC697" s="1301"/>
    </row>
    <row r="698">
      <c r="B698" s="17"/>
      <c r="C698" s="17"/>
      <c r="D698" s="17"/>
      <c r="E698" s="343"/>
      <c r="F698" s="17"/>
      <c r="G698" s="17"/>
      <c r="H698" s="17"/>
      <c r="I698" s="17"/>
      <c r="J698" s="17" t="s">
        <v>1026</v>
      </c>
      <c r="K698" s="17"/>
      <c r="L698" s="17"/>
      <c r="AC698" s="1301"/>
    </row>
    <row r="699">
      <c r="B699" s="17"/>
      <c r="C699" s="17"/>
      <c r="D699" s="17"/>
      <c r="E699" s="343"/>
      <c r="F699" s="17"/>
      <c r="G699" s="17"/>
      <c r="H699" s="17"/>
      <c r="I699" s="17"/>
      <c r="J699" s="17" t="s">
        <v>1026</v>
      </c>
      <c r="K699" s="17"/>
      <c r="L699" s="17"/>
      <c r="AC699" s="1301"/>
    </row>
    <row r="700">
      <c r="B700" s="17"/>
      <c r="C700" s="17"/>
      <c r="D700" s="17"/>
      <c r="E700" s="343"/>
      <c r="F700" s="17"/>
      <c r="G700" s="17"/>
      <c r="H700" s="17"/>
      <c r="I700" s="17"/>
      <c r="J700" s="17" t="s">
        <v>1026</v>
      </c>
      <c r="K700" s="17"/>
      <c r="L700" s="17"/>
      <c r="AC700" s="1301"/>
    </row>
    <row r="701">
      <c r="B701" s="17"/>
      <c r="C701" s="17"/>
      <c r="D701" s="17"/>
      <c r="E701" s="343"/>
      <c r="F701" s="17"/>
      <c r="G701" s="17"/>
      <c r="H701" s="17"/>
      <c r="I701" s="17"/>
      <c r="J701" s="17" t="s">
        <v>1026</v>
      </c>
      <c r="K701" s="17"/>
      <c r="L701" s="17"/>
      <c r="AC701" s="1301"/>
    </row>
    <row r="702">
      <c r="B702" s="17"/>
      <c r="C702" s="17"/>
      <c r="D702" s="17"/>
      <c r="E702" s="343"/>
      <c r="F702" s="17"/>
      <c r="G702" s="17"/>
      <c r="H702" s="17"/>
      <c r="I702" s="17"/>
      <c r="J702" s="17" t="s">
        <v>1026</v>
      </c>
      <c r="K702" s="17"/>
      <c r="L702" s="17"/>
      <c r="AC702" s="1301"/>
    </row>
    <row r="703">
      <c r="B703" s="17"/>
      <c r="C703" s="17"/>
      <c r="D703" s="17"/>
      <c r="E703" s="343"/>
      <c r="F703" s="17"/>
      <c r="G703" s="17"/>
      <c r="H703" s="17"/>
      <c r="I703" s="17"/>
      <c r="J703" s="17" t="s">
        <v>1026</v>
      </c>
      <c r="K703" s="17"/>
      <c r="L703" s="17"/>
      <c r="AC703" s="1301"/>
    </row>
    <row r="704">
      <c r="B704" s="17"/>
      <c r="C704" s="17"/>
      <c r="D704" s="17"/>
      <c r="E704" s="343"/>
      <c r="F704" s="17"/>
      <c r="G704" s="17"/>
      <c r="H704" s="17"/>
      <c r="I704" s="17"/>
      <c r="J704" s="17" t="s">
        <v>1026</v>
      </c>
      <c r="K704" s="17"/>
      <c r="L704" s="17"/>
      <c r="AC704" s="1301"/>
    </row>
    <row r="705">
      <c r="B705" s="17"/>
      <c r="C705" s="17"/>
      <c r="D705" s="17"/>
      <c r="E705" s="343"/>
      <c r="F705" s="17"/>
      <c r="G705" s="17"/>
      <c r="H705" s="17"/>
      <c r="I705" s="17"/>
      <c r="J705" s="17" t="s">
        <v>1026</v>
      </c>
      <c r="K705" s="17"/>
      <c r="L705" s="17"/>
      <c r="AC705" s="1301"/>
    </row>
    <row r="706">
      <c r="B706" s="17"/>
      <c r="C706" s="17"/>
      <c r="D706" s="17"/>
      <c r="E706" s="343"/>
      <c r="F706" s="17"/>
      <c r="G706" s="17"/>
      <c r="H706" s="17"/>
      <c r="I706" s="17"/>
      <c r="J706" s="17" t="s">
        <v>1026</v>
      </c>
      <c r="K706" s="17"/>
      <c r="L706" s="17"/>
      <c r="AC706" s="1301"/>
    </row>
    <row r="707">
      <c r="B707" s="17"/>
      <c r="C707" s="17"/>
      <c r="D707" s="17"/>
      <c r="E707" s="343"/>
      <c r="F707" s="17"/>
      <c r="G707" s="17"/>
      <c r="H707" s="17"/>
      <c r="I707" s="17"/>
      <c r="J707" s="17" t="s">
        <v>1026</v>
      </c>
      <c r="K707" s="17"/>
      <c r="L707" s="17"/>
      <c r="AC707" s="1301"/>
    </row>
    <row r="708">
      <c r="B708" s="17"/>
      <c r="C708" s="17"/>
      <c r="D708" s="17"/>
      <c r="E708" s="343"/>
      <c r="F708" s="17"/>
      <c r="G708" s="17"/>
      <c r="H708" s="17"/>
      <c r="I708" s="17"/>
      <c r="J708" s="17" t="s">
        <v>1026</v>
      </c>
      <c r="K708" s="17"/>
      <c r="L708" s="17"/>
      <c r="AC708" s="1301"/>
    </row>
    <row r="709">
      <c r="B709" s="17"/>
      <c r="C709" s="17"/>
      <c r="D709" s="17"/>
      <c r="E709" s="343"/>
      <c r="F709" s="17"/>
      <c r="G709" s="17"/>
      <c r="H709" s="17"/>
      <c r="I709" s="17"/>
      <c r="J709" s="17" t="s">
        <v>1026</v>
      </c>
      <c r="K709" s="17"/>
      <c r="L709" s="17"/>
      <c r="AC709" s="1301"/>
    </row>
    <row r="710">
      <c r="B710" s="17"/>
      <c r="C710" s="17"/>
      <c r="D710" s="17"/>
      <c r="E710" s="343"/>
      <c r="F710" s="17"/>
      <c r="G710" s="17"/>
      <c r="H710" s="17"/>
      <c r="I710" s="17"/>
      <c r="J710" s="17" t="s">
        <v>1026</v>
      </c>
      <c r="K710" s="17"/>
      <c r="L710" s="17"/>
      <c r="AC710" s="1301"/>
    </row>
    <row r="711">
      <c r="B711" s="17"/>
      <c r="C711" s="17"/>
      <c r="D711" s="17"/>
      <c r="E711" s="343"/>
      <c r="F711" s="17"/>
      <c r="G711" s="17"/>
      <c r="H711" s="17"/>
      <c r="I711" s="17"/>
      <c r="J711" s="17" t="s">
        <v>1026</v>
      </c>
      <c r="K711" s="17"/>
      <c r="L711" s="17"/>
      <c r="AC711" s="1301"/>
    </row>
    <row r="712">
      <c r="B712" s="17"/>
      <c r="C712" s="17"/>
      <c r="D712" s="17"/>
      <c r="E712" s="343"/>
      <c r="F712" s="17"/>
      <c r="G712" s="17"/>
      <c r="H712" s="17"/>
      <c r="I712" s="17"/>
      <c r="J712" s="17" t="s">
        <v>1026</v>
      </c>
      <c r="K712" s="17"/>
      <c r="L712" s="17"/>
      <c r="AC712" s="1301"/>
    </row>
    <row r="713">
      <c r="B713" s="17"/>
      <c r="C713" s="17"/>
      <c r="D713" s="17"/>
      <c r="E713" s="343"/>
      <c r="F713" s="17"/>
      <c r="G713" s="17"/>
      <c r="H713" s="17"/>
      <c r="I713" s="17"/>
      <c r="J713" s="17" t="s">
        <v>1026</v>
      </c>
      <c r="K713" s="17"/>
      <c r="L713" s="17"/>
      <c r="AC713" s="1301"/>
    </row>
    <row r="714">
      <c r="B714" s="17"/>
      <c r="C714" s="17"/>
      <c r="D714" s="17"/>
      <c r="E714" s="343"/>
      <c r="F714" s="17"/>
      <c r="G714" s="17"/>
      <c r="H714" s="17"/>
      <c r="I714" s="17"/>
      <c r="J714" s="17" t="s">
        <v>1026</v>
      </c>
      <c r="K714" s="17"/>
      <c r="L714" s="17"/>
      <c r="AC714" s="1301"/>
    </row>
    <row r="715">
      <c r="B715" s="17"/>
      <c r="C715" s="17"/>
      <c r="D715" s="17"/>
      <c r="E715" s="343"/>
      <c r="F715" s="17"/>
      <c r="G715" s="17"/>
      <c r="H715" s="17"/>
      <c r="I715" s="17"/>
      <c r="J715" s="17" t="s">
        <v>1026</v>
      </c>
      <c r="K715" s="17"/>
      <c r="L715" s="17"/>
      <c r="AC715" s="1301"/>
    </row>
    <row r="716">
      <c r="B716" s="17"/>
      <c r="C716" s="17"/>
      <c r="D716" s="17"/>
      <c r="E716" s="343"/>
      <c r="F716" s="17"/>
      <c r="G716" s="17"/>
      <c r="H716" s="17"/>
      <c r="I716" s="17"/>
      <c r="J716" s="17" t="s">
        <v>1026</v>
      </c>
      <c r="K716" s="17"/>
      <c r="L716" s="17"/>
      <c r="AC716" s="1301"/>
    </row>
    <row r="717">
      <c r="B717" s="17"/>
      <c r="C717" s="17"/>
      <c r="D717" s="17"/>
      <c r="E717" s="343"/>
      <c r="F717" s="17"/>
      <c r="G717" s="17"/>
      <c r="H717" s="17"/>
      <c r="I717" s="17"/>
      <c r="J717" s="17" t="s">
        <v>1026</v>
      </c>
      <c r="K717" s="17"/>
      <c r="L717" s="17"/>
      <c r="AC717" s="1301"/>
    </row>
    <row r="718">
      <c r="B718" s="17"/>
      <c r="C718" s="17"/>
      <c r="D718" s="17"/>
      <c r="E718" s="343"/>
      <c r="F718" s="17"/>
      <c r="G718" s="17"/>
      <c r="H718" s="17"/>
      <c r="I718" s="17"/>
      <c r="J718" s="17" t="s">
        <v>1026</v>
      </c>
      <c r="K718" s="17"/>
      <c r="L718" s="17"/>
      <c r="AC718" s="1301"/>
    </row>
    <row r="719">
      <c r="B719" s="17"/>
      <c r="C719" s="17"/>
      <c r="D719" s="17"/>
      <c r="E719" s="343"/>
      <c r="F719" s="17"/>
      <c r="G719" s="17"/>
      <c r="H719" s="17"/>
      <c r="I719" s="17"/>
      <c r="J719" s="17" t="s">
        <v>1026</v>
      </c>
      <c r="K719" s="17"/>
      <c r="L719" s="17"/>
      <c r="AC719" s="1301"/>
    </row>
    <row r="720">
      <c r="B720" s="17"/>
      <c r="C720" s="17"/>
      <c r="D720" s="17"/>
      <c r="E720" s="343"/>
      <c r="F720" s="17"/>
      <c r="G720" s="17"/>
      <c r="H720" s="17"/>
      <c r="I720" s="17"/>
      <c r="J720" s="17" t="s">
        <v>1026</v>
      </c>
      <c r="K720" s="17"/>
      <c r="L720" s="17"/>
      <c r="AC720" s="1301"/>
    </row>
    <row r="721">
      <c r="B721" s="17"/>
      <c r="C721" s="17"/>
      <c r="D721" s="17"/>
      <c r="E721" s="343"/>
      <c r="F721" s="17"/>
      <c r="G721" s="17"/>
      <c r="H721" s="17"/>
      <c r="I721" s="17"/>
      <c r="J721" s="17" t="s">
        <v>1026</v>
      </c>
      <c r="K721" s="17"/>
      <c r="L721" s="17"/>
      <c r="AC721" s="1301"/>
    </row>
    <row r="722">
      <c r="B722" s="17"/>
      <c r="C722" s="17"/>
      <c r="D722" s="17"/>
      <c r="E722" s="343"/>
      <c r="F722" s="17"/>
      <c r="G722" s="17"/>
      <c r="H722" s="17"/>
      <c r="I722" s="17"/>
      <c r="J722" s="17" t="s">
        <v>1026</v>
      </c>
      <c r="K722" s="17"/>
      <c r="L722" s="17"/>
      <c r="AC722" s="1301"/>
    </row>
    <row r="723">
      <c r="B723" s="17"/>
      <c r="C723" s="17"/>
      <c r="D723" s="17"/>
      <c r="E723" s="343"/>
      <c r="F723" s="17"/>
      <c r="G723" s="17"/>
      <c r="H723" s="17"/>
      <c r="I723" s="17"/>
      <c r="J723" s="17" t="s">
        <v>1026</v>
      </c>
      <c r="K723" s="17"/>
      <c r="L723" s="17"/>
      <c r="AC723" s="1301"/>
    </row>
    <row r="724">
      <c r="B724" s="17"/>
      <c r="C724" s="17"/>
      <c r="D724" s="17"/>
      <c r="E724" s="343"/>
      <c r="F724" s="17"/>
      <c r="G724" s="17"/>
      <c r="H724" s="17"/>
      <c r="I724" s="17"/>
      <c r="J724" s="17" t="s">
        <v>1026</v>
      </c>
      <c r="K724" s="17"/>
      <c r="L724" s="17"/>
      <c r="AC724" s="1301"/>
    </row>
    <row r="725">
      <c r="B725" s="17"/>
      <c r="C725" s="17"/>
      <c r="D725" s="17"/>
      <c r="E725" s="343"/>
      <c r="F725" s="17"/>
      <c r="G725" s="17"/>
      <c r="H725" s="17"/>
      <c r="I725" s="17"/>
      <c r="J725" s="17" t="s">
        <v>1026</v>
      </c>
      <c r="K725" s="17"/>
      <c r="L725" s="17"/>
      <c r="AC725" s="1301"/>
    </row>
    <row r="726">
      <c r="B726" s="17"/>
      <c r="C726" s="17"/>
      <c r="D726" s="17"/>
      <c r="E726" s="343"/>
      <c r="F726" s="17"/>
      <c r="G726" s="17"/>
      <c r="H726" s="17"/>
      <c r="I726" s="17"/>
      <c r="J726" s="17" t="s">
        <v>1026</v>
      </c>
      <c r="K726" s="17"/>
      <c r="L726" s="17"/>
      <c r="AC726" s="1301"/>
    </row>
    <row r="727">
      <c r="B727" s="17"/>
      <c r="C727" s="17"/>
      <c r="D727" s="17"/>
      <c r="E727" s="343"/>
      <c r="F727" s="17"/>
      <c r="G727" s="17"/>
      <c r="H727" s="17"/>
      <c r="I727" s="17"/>
      <c r="J727" s="17" t="s">
        <v>1026</v>
      </c>
      <c r="K727" s="17"/>
      <c r="L727" s="17"/>
      <c r="AC727" s="1301"/>
    </row>
    <row r="728">
      <c r="B728" s="17"/>
      <c r="C728" s="17"/>
      <c r="D728" s="17"/>
      <c r="E728" s="343"/>
      <c r="F728" s="17"/>
      <c r="G728" s="17"/>
      <c r="H728" s="17"/>
      <c r="I728" s="17"/>
      <c r="J728" s="17" t="s">
        <v>1026</v>
      </c>
      <c r="K728" s="17"/>
      <c r="L728" s="17"/>
      <c r="AC728" s="1301"/>
    </row>
    <row r="729">
      <c r="B729" s="17"/>
      <c r="C729" s="17"/>
      <c r="D729" s="17"/>
      <c r="E729" s="343"/>
      <c r="F729" s="17"/>
      <c r="G729" s="17"/>
      <c r="H729" s="17"/>
      <c r="I729" s="17"/>
      <c r="J729" s="17" t="s">
        <v>1026</v>
      </c>
      <c r="K729" s="17"/>
      <c r="L729" s="17"/>
      <c r="AC729" s="1301"/>
    </row>
    <row r="730">
      <c r="B730" s="17"/>
      <c r="C730" s="17"/>
      <c r="D730" s="17"/>
      <c r="E730" s="343"/>
      <c r="F730" s="17"/>
      <c r="G730" s="17"/>
      <c r="H730" s="17"/>
      <c r="I730" s="17"/>
      <c r="J730" s="17" t="s">
        <v>1026</v>
      </c>
      <c r="K730" s="17"/>
      <c r="L730" s="17"/>
      <c r="AC730" s="1301"/>
    </row>
    <row r="731">
      <c r="B731" s="17"/>
      <c r="C731" s="17"/>
      <c r="D731" s="17"/>
      <c r="E731" s="343"/>
      <c r="F731" s="17"/>
      <c r="G731" s="17"/>
      <c r="H731" s="17"/>
      <c r="I731" s="17"/>
      <c r="J731" s="17" t="s">
        <v>1026</v>
      </c>
      <c r="K731" s="17"/>
      <c r="L731" s="17"/>
      <c r="AC731" s="1301"/>
    </row>
    <row r="732">
      <c r="B732" s="17"/>
      <c r="C732" s="17"/>
      <c r="D732" s="17"/>
      <c r="E732" s="343"/>
      <c r="F732" s="17"/>
      <c r="G732" s="17"/>
      <c r="H732" s="17"/>
      <c r="I732" s="17"/>
      <c r="J732" s="17" t="s">
        <v>1026</v>
      </c>
      <c r="K732" s="17"/>
      <c r="L732" s="17"/>
      <c r="AC732" s="1301"/>
    </row>
    <row r="733">
      <c r="B733" s="17"/>
      <c r="C733" s="17"/>
      <c r="D733" s="17"/>
      <c r="E733" s="343"/>
      <c r="F733" s="17"/>
      <c r="G733" s="17"/>
      <c r="H733" s="17"/>
      <c r="I733" s="17"/>
      <c r="J733" s="17" t="s">
        <v>1026</v>
      </c>
      <c r="K733" s="17"/>
      <c r="L733" s="17"/>
      <c r="AC733" s="1301"/>
    </row>
    <row r="734">
      <c r="B734" s="17"/>
      <c r="C734" s="17"/>
      <c r="D734" s="17"/>
      <c r="E734" s="343"/>
      <c r="F734" s="17"/>
      <c r="G734" s="17"/>
      <c r="H734" s="17"/>
      <c r="I734" s="17"/>
      <c r="J734" s="17" t="s">
        <v>1026</v>
      </c>
      <c r="K734" s="17"/>
      <c r="L734" s="17"/>
      <c r="AC734" s="1301"/>
    </row>
    <row r="735">
      <c r="B735" s="17"/>
      <c r="C735" s="17"/>
      <c r="D735" s="17"/>
      <c r="E735" s="343"/>
      <c r="F735" s="17"/>
      <c r="G735" s="17"/>
      <c r="H735" s="17"/>
      <c r="I735" s="17"/>
      <c r="J735" s="17" t="s">
        <v>1026</v>
      </c>
      <c r="K735" s="17"/>
      <c r="L735" s="17"/>
      <c r="AC735" s="1301"/>
    </row>
    <row r="736">
      <c r="B736" s="17"/>
      <c r="C736" s="17"/>
      <c r="D736" s="17"/>
      <c r="E736" s="343"/>
      <c r="F736" s="17"/>
      <c r="G736" s="17"/>
      <c r="H736" s="17"/>
      <c r="I736" s="17"/>
      <c r="J736" s="17" t="s">
        <v>1026</v>
      </c>
      <c r="K736" s="17"/>
      <c r="L736" s="17"/>
      <c r="AC736" s="1301"/>
    </row>
    <row r="737">
      <c r="B737" s="17"/>
      <c r="C737" s="17"/>
      <c r="D737" s="17"/>
      <c r="E737" s="343"/>
      <c r="F737" s="17"/>
      <c r="G737" s="17"/>
      <c r="H737" s="17"/>
      <c r="I737" s="17"/>
      <c r="J737" s="17" t="s">
        <v>1026</v>
      </c>
      <c r="K737" s="17"/>
      <c r="L737" s="17"/>
      <c r="AC737" s="1301"/>
    </row>
    <row r="738">
      <c r="B738" s="17"/>
      <c r="C738" s="17"/>
      <c r="D738" s="17"/>
      <c r="E738" s="343"/>
      <c r="F738" s="17"/>
      <c r="G738" s="17"/>
      <c r="H738" s="17"/>
      <c r="I738" s="17"/>
      <c r="J738" s="17" t="s">
        <v>1026</v>
      </c>
      <c r="K738" s="17"/>
      <c r="L738" s="17"/>
      <c r="AC738" s="1301"/>
    </row>
    <row r="739">
      <c r="B739" s="17"/>
      <c r="C739" s="17"/>
      <c r="D739" s="17"/>
      <c r="E739" s="343"/>
      <c r="F739" s="17"/>
      <c r="G739" s="17"/>
      <c r="H739" s="17"/>
      <c r="I739" s="17"/>
      <c r="J739" s="17" t="s">
        <v>1026</v>
      </c>
      <c r="K739" s="17"/>
      <c r="L739" s="17"/>
      <c r="AC739" s="1301"/>
    </row>
    <row r="740">
      <c r="B740" s="17"/>
      <c r="C740" s="17"/>
      <c r="D740" s="17"/>
      <c r="E740" s="343"/>
      <c r="F740" s="17"/>
      <c r="G740" s="17"/>
      <c r="H740" s="17"/>
      <c r="I740" s="17"/>
      <c r="J740" s="17" t="s">
        <v>1026</v>
      </c>
      <c r="K740" s="17"/>
      <c r="L740" s="17"/>
      <c r="AC740" s="1301"/>
    </row>
    <row r="741">
      <c r="B741" s="17"/>
      <c r="C741" s="17"/>
      <c r="D741" s="17"/>
      <c r="E741" s="343"/>
      <c r="F741" s="17"/>
      <c r="G741" s="17"/>
      <c r="H741" s="17"/>
      <c r="I741" s="17"/>
      <c r="J741" s="17" t="s">
        <v>1026</v>
      </c>
      <c r="K741" s="17"/>
      <c r="L741" s="17"/>
      <c r="AC741" s="1301"/>
    </row>
    <row r="742">
      <c r="B742" s="17"/>
      <c r="C742" s="17"/>
      <c r="D742" s="17"/>
      <c r="E742" s="343"/>
      <c r="F742" s="17"/>
      <c r="G742" s="17"/>
      <c r="H742" s="17"/>
      <c r="I742" s="17"/>
      <c r="J742" s="17" t="s">
        <v>1026</v>
      </c>
      <c r="K742" s="17"/>
      <c r="L742" s="17"/>
      <c r="AC742" s="1301"/>
    </row>
    <row r="743">
      <c r="B743" s="17"/>
      <c r="C743" s="17"/>
      <c r="D743" s="17"/>
      <c r="E743" s="343"/>
      <c r="F743" s="17"/>
      <c r="G743" s="17"/>
      <c r="H743" s="17"/>
      <c r="I743" s="17"/>
      <c r="J743" s="17" t="s">
        <v>1026</v>
      </c>
      <c r="K743" s="17"/>
      <c r="L743" s="17"/>
      <c r="AC743" s="1301"/>
    </row>
    <row r="744">
      <c r="B744" s="17"/>
      <c r="C744" s="17"/>
      <c r="D744" s="17"/>
      <c r="E744" s="343"/>
      <c r="F744" s="17"/>
      <c r="G744" s="17"/>
      <c r="H744" s="17"/>
      <c r="I744" s="17"/>
      <c r="J744" s="17" t="s">
        <v>1026</v>
      </c>
      <c r="K744" s="17"/>
      <c r="L744" s="17"/>
      <c r="AC744" s="1301"/>
    </row>
    <row r="745">
      <c r="B745" s="17"/>
      <c r="C745" s="17"/>
      <c r="D745" s="17"/>
      <c r="E745" s="343"/>
      <c r="F745" s="17"/>
      <c r="G745" s="17"/>
      <c r="H745" s="17"/>
      <c r="I745" s="17"/>
      <c r="J745" s="17" t="s">
        <v>1026</v>
      </c>
      <c r="K745" s="17"/>
      <c r="L745" s="17"/>
      <c r="AC745" s="1301"/>
    </row>
    <row r="746">
      <c r="B746" s="17"/>
      <c r="C746" s="17"/>
      <c r="D746" s="17"/>
      <c r="E746" s="343"/>
      <c r="F746" s="17"/>
      <c r="G746" s="17"/>
      <c r="H746" s="17"/>
      <c r="I746" s="17"/>
      <c r="J746" s="17" t="s">
        <v>1026</v>
      </c>
      <c r="K746" s="17"/>
      <c r="L746" s="17"/>
      <c r="AC746" s="1301"/>
    </row>
    <row r="747">
      <c r="B747" s="17"/>
      <c r="C747" s="17"/>
      <c r="D747" s="17"/>
      <c r="E747" s="343"/>
      <c r="F747" s="17"/>
      <c r="G747" s="17"/>
      <c r="H747" s="17"/>
      <c r="I747" s="17"/>
      <c r="J747" s="17" t="s">
        <v>1026</v>
      </c>
      <c r="K747" s="17"/>
      <c r="L747" s="17"/>
      <c r="AC747" s="1301"/>
    </row>
    <row r="748">
      <c r="B748" s="17"/>
      <c r="C748" s="17"/>
      <c r="D748" s="17"/>
      <c r="E748" s="343"/>
      <c r="F748" s="17"/>
      <c r="G748" s="17"/>
      <c r="H748" s="17"/>
      <c r="I748" s="17"/>
      <c r="J748" s="17" t="s">
        <v>1026</v>
      </c>
      <c r="K748" s="17"/>
      <c r="L748" s="17"/>
      <c r="AC748" s="1301"/>
    </row>
    <row r="749">
      <c r="B749" s="17"/>
      <c r="C749" s="17"/>
      <c r="D749" s="17"/>
      <c r="E749" s="343"/>
      <c r="F749" s="17"/>
      <c r="G749" s="17"/>
      <c r="H749" s="17"/>
      <c r="I749" s="17"/>
      <c r="J749" s="17" t="s">
        <v>1026</v>
      </c>
      <c r="K749" s="17"/>
      <c r="L749" s="17"/>
      <c r="AC749" s="1301"/>
    </row>
    <row r="750">
      <c r="B750" s="17"/>
      <c r="C750" s="17"/>
      <c r="D750" s="17"/>
      <c r="E750" s="343"/>
      <c r="F750" s="17"/>
      <c r="G750" s="17"/>
      <c r="H750" s="17"/>
      <c r="I750" s="17"/>
      <c r="J750" s="17" t="s">
        <v>1026</v>
      </c>
      <c r="K750" s="17"/>
      <c r="L750" s="17"/>
      <c r="AC750" s="1301"/>
    </row>
    <row r="751">
      <c r="B751" s="17"/>
      <c r="C751" s="17"/>
      <c r="D751" s="17"/>
      <c r="E751" s="343"/>
      <c r="F751" s="17"/>
      <c r="G751" s="17"/>
      <c r="H751" s="17"/>
      <c r="I751" s="17"/>
      <c r="J751" s="17" t="s">
        <v>1026</v>
      </c>
      <c r="K751" s="17"/>
      <c r="L751" s="17"/>
      <c r="AC751" s="1301"/>
    </row>
    <row r="752">
      <c r="B752" s="17"/>
      <c r="C752" s="17"/>
      <c r="D752" s="17"/>
      <c r="E752" s="343"/>
      <c r="F752" s="17"/>
      <c r="G752" s="17"/>
      <c r="H752" s="17"/>
      <c r="I752" s="17"/>
      <c r="J752" s="17" t="s">
        <v>1026</v>
      </c>
      <c r="K752" s="17"/>
      <c r="L752" s="17"/>
      <c r="AC752" s="1301"/>
    </row>
    <row r="753">
      <c r="B753" s="17"/>
      <c r="C753" s="17"/>
      <c r="D753" s="17"/>
      <c r="E753" s="343"/>
      <c r="F753" s="17"/>
      <c r="G753" s="17"/>
      <c r="H753" s="17"/>
      <c r="I753" s="17"/>
      <c r="J753" s="17" t="s">
        <v>1026</v>
      </c>
      <c r="K753" s="17"/>
      <c r="L753" s="17"/>
      <c r="AC753" s="1301"/>
    </row>
    <row r="754">
      <c r="B754" s="17"/>
      <c r="C754" s="17"/>
      <c r="D754" s="17"/>
      <c r="E754" s="343"/>
      <c r="F754" s="17"/>
      <c r="G754" s="17"/>
      <c r="H754" s="17"/>
      <c r="I754" s="17"/>
      <c r="J754" s="17" t="s">
        <v>1026</v>
      </c>
      <c r="K754" s="17"/>
      <c r="L754" s="17"/>
      <c r="AC754" s="1301"/>
    </row>
    <row r="755">
      <c r="B755" s="17"/>
      <c r="C755" s="17"/>
      <c r="D755" s="17"/>
      <c r="E755" s="343"/>
      <c r="F755" s="17"/>
      <c r="G755" s="17"/>
      <c r="H755" s="17"/>
      <c r="I755" s="17"/>
      <c r="J755" s="17" t="s">
        <v>1026</v>
      </c>
      <c r="K755" s="17"/>
      <c r="L755" s="17"/>
      <c r="AC755" s="1301"/>
    </row>
    <row r="756">
      <c r="B756" s="17"/>
      <c r="C756" s="17"/>
      <c r="D756" s="17"/>
      <c r="E756" s="343"/>
      <c r="F756" s="17"/>
      <c r="G756" s="17"/>
      <c r="H756" s="17"/>
      <c r="I756" s="17"/>
      <c r="J756" s="17" t="s">
        <v>1026</v>
      </c>
      <c r="K756" s="17"/>
      <c r="L756" s="17"/>
      <c r="AC756" s="1301"/>
    </row>
    <row r="757">
      <c r="B757" s="17"/>
      <c r="C757" s="17"/>
      <c r="D757" s="17"/>
      <c r="E757" s="343"/>
      <c r="F757" s="17"/>
      <c r="G757" s="17"/>
      <c r="H757" s="17"/>
      <c r="I757" s="17"/>
      <c r="J757" s="17" t="s">
        <v>1026</v>
      </c>
      <c r="K757" s="17"/>
      <c r="L757" s="17"/>
      <c r="AC757" s="1301"/>
    </row>
    <row r="758">
      <c r="B758" s="17"/>
      <c r="C758" s="17"/>
      <c r="D758" s="17"/>
      <c r="E758" s="343"/>
      <c r="F758" s="17"/>
      <c r="G758" s="17"/>
      <c r="H758" s="17"/>
      <c r="I758" s="17"/>
      <c r="J758" s="17" t="s">
        <v>1026</v>
      </c>
      <c r="K758" s="17"/>
      <c r="L758" s="17"/>
      <c r="AC758" s="1301"/>
    </row>
    <row r="759">
      <c r="B759" s="17"/>
      <c r="C759" s="17"/>
      <c r="D759" s="17"/>
      <c r="E759" s="343"/>
      <c r="F759" s="17"/>
      <c r="G759" s="17"/>
      <c r="H759" s="17"/>
      <c r="I759" s="17"/>
      <c r="J759" s="17" t="s">
        <v>1026</v>
      </c>
      <c r="K759" s="17"/>
      <c r="L759" s="17"/>
      <c r="AC759" s="1301"/>
    </row>
    <row r="760">
      <c r="B760" s="17"/>
      <c r="C760" s="17"/>
      <c r="D760" s="17"/>
      <c r="E760" s="343"/>
      <c r="F760" s="17"/>
      <c r="G760" s="17"/>
      <c r="H760" s="17"/>
      <c r="I760" s="17"/>
      <c r="J760" s="17" t="s">
        <v>1026</v>
      </c>
      <c r="K760" s="17"/>
      <c r="L760" s="17"/>
      <c r="AC760" s="1301"/>
    </row>
    <row r="761">
      <c r="B761" s="17"/>
      <c r="C761" s="17"/>
      <c r="D761" s="17"/>
      <c r="E761" s="343"/>
      <c r="F761" s="17"/>
      <c r="G761" s="17"/>
      <c r="H761" s="17"/>
      <c r="I761" s="17"/>
      <c r="J761" s="17" t="s">
        <v>1026</v>
      </c>
      <c r="K761" s="17"/>
      <c r="L761" s="17"/>
      <c r="AC761" s="1301"/>
    </row>
    <row r="762">
      <c r="B762" s="17"/>
      <c r="C762" s="17"/>
      <c r="D762" s="17"/>
      <c r="E762" s="343"/>
      <c r="F762" s="17"/>
      <c r="G762" s="17"/>
      <c r="H762" s="17"/>
      <c r="I762" s="17"/>
      <c r="J762" s="17" t="s">
        <v>1026</v>
      </c>
      <c r="K762" s="17"/>
      <c r="L762" s="17"/>
      <c r="AC762" s="1301"/>
    </row>
    <row r="763">
      <c r="B763" s="17"/>
      <c r="C763" s="17"/>
      <c r="D763" s="17"/>
      <c r="E763" s="343"/>
      <c r="F763" s="17"/>
      <c r="G763" s="17"/>
      <c r="H763" s="17"/>
      <c r="I763" s="17"/>
      <c r="J763" s="17" t="s">
        <v>1026</v>
      </c>
      <c r="K763" s="17"/>
      <c r="L763" s="17"/>
      <c r="AC763" s="1301"/>
    </row>
    <row r="764">
      <c r="B764" s="17"/>
      <c r="C764" s="17"/>
      <c r="D764" s="17"/>
      <c r="E764" s="343"/>
      <c r="F764" s="17"/>
      <c r="G764" s="17"/>
      <c r="H764" s="17"/>
      <c r="I764" s="17"/>
      <c r="J764" s="17" t="s">
        <v>1026</v>
      </c>
      <c r="K764" s="17"/>
      <c r="L764" s="17"/>
      <c r="AC764" s="1301"/>
    </row>
    <row r="765">
      <c r="B765" s="17"/>
      <c r="C765" s="17"/>
      <c r="D765" s="17"/>
      <c r="E765" s="343"/>
      <c r="F765" s="17"/>
      <c r="G765" s="17"/>
      <c r="H765" s="17"/>
      <c r="I765" s="17"/>
      <c r="J765" s="17" t="s">
        <v>1026</v>
      </c>
      <c r="K765" s="17"/>
      <c r="L765" s="17"/>
      <c r="AC765" s="1301"/>
    </row>
    <row r="766">
      <c r="B766" s="17"/>
      <c r="C766" s="17"/>
      <c r="D766" s="17"/>
      <c r="E766" s="343"/>
      <c r="F766" s="17"/>
      <c r="G766" s="17"/>
      <c r="H766" s="17"/>
      <c r="I766" s="17"/>
      <c r="J766" s="17" t="s">
        <v>1026</v>
      </c>
      <c r="K766" s="17"/>
      <c r="L766" s="17"/>
      <c r="AC766" s="1301"/>
    </row>
    <row r="767">
      <c r="B767" s="17"/>
      <c r="C767" s="17"/>
      <c r="D767" s="17"/>
      <c r="E767" s="343"/>
      <c r="F767" s="17"/>
      <c r="G767" s="17"/>
      <c r="H767" s="17"/>
      <c r="I767" s="17"/>
      <c r="J767" s="17" t="s">
        <v>1026</v>
      </c>
      <c r="K767" s="17"/>
      <c r="L767" s="17"/>
      <c r="AC767" s="1301"/>
    </row>
    <row r="768">
      <c r="B768" s="17"/>
      <c r="C768" s="17"/>
      <c r="D768" s="17"/>
      <c r="E768" s="343"/>
      <c r="F768" s="17"/>
      <c r="G768" s="17"/>
      <c r="H768" s="17"/>
      <c r="I768" s="17"/>
      <c r="J768" s="17" t="s">
        <v>1026</v>
      </c>
      <c r="K768" s="17"/>
      <c r="L768" s="17"/>
      <c r="AC768" s="1301"/>
    </row>
    <row r="769">
      <c r="B769" s="17"/>
      <c r="C769" s="17"/>
      <c r="D769" s="17"/>
      <c r="E769" s="343"/>
      <c r="F769" s="17"/>
      <c r="G769" s="17"/>
      <c r="H769" s="17"/>
      <c r="I769" s="17"/>
      <c r="J769" s="17" t="s">
        <v>1026</v>
      </c>
      <c r="K769" s="17"/>
      <c r="L769" s="17"/>
      <c r="AC769" s="1301"/>
    </row>
    <row r="770">
      <c r="B770" s="17"/>
      <c r="C770" s="17"/>
      <c r="D770" s="17"/>
      <c r="E770" s="343"/>
      <c r="F770" s="17"/>
      <c r="G770" s="17"/>
      <c r="H770" s="17"/>
      <c r="I770" s="17"/>
      <c r="J770" s="17" t="s">
        <v>1026</v>
      </c>
      <c r="K770" s="17"/>
      <c r="L770" s="17"/>
      <c r="AC770" s="1301"/>
    </row>
    <row r="771">
      <c r="B771" s="17"/>
      <c r="C771" s="17"/>
      <c r="D771" s="17"/>
      <c r="E771" s="343"/>
      <c r="F771" s="17"/>
      <c r="G771" s="17"/>
      <c r="H771" s="17"/>
      <c r="I771" s="17"/>
      <c r="J771" s="17" t="s">
        <v>1026</v>
      </c>
      <c r="K771" s="17"/>
      <c r="L771" s="17"/>
      <c r="AC771" s="1301"/>
    </row>
    <row r="772">
      <c r="B772" s="17"/>
      <c r="C772" s="17"/>
      <c r="D772" s="17"/>
      <c r="E772" s="343"/>
      <c r="F772" s="17"/>
      <c r="G772" s="17"/>
      <c r="H772" s="17"/>
      <c r="I772" s="17"/>
      <c r="J772" s="17" t="s">
        <v>1026</v>
      </c>
      <c r="K772" s="17"/>
      <c r="L772" s="17"/>
      <c r="AC772" s="1301"/>
    </row>
    <row r="773">
      <c r="B773" s="17"/>
      <c r="C773" s="17"/>
      <c r="D773" s="17"/>
      <c r="E773" s="343"/>
      <c r="F773" s="17"/>
      <c r="G773" s="17"/>
      <c r="H773" s="17"/>
      <c r="I773" s="17"/>
      <c r="J773" s="17" t="s">
        <v>1026</v>
      </c>
      <c r="K773" s="17"/>
      <c r="L773" s="17"/>
      <c r="AC773" s="1301"/>
    </row>
    <row r="774">
      <c r="B774" s="17"/>
      <c r="C774" s="17"/>
      <c r="D774" s="17"/>
      <c r="E774" s="343"/>
      <c r="F774" s="17"/>
      <c r="G774" s="17"/>
      <c r="H774" s="17"/>
      <c r="I774" s="17"/>
      <c r="J774" s="17" t="s">
        <v>1026</v>
      </c>
      <c r="K774" s="17"/>
      <c r="L774" s="17"/>
      <c r="AC774" s="1301"/>
    </row>
    <row r="775">
      <c r="B775" s="17"/>
      <c r="C775" s="17"/>
      <c r="D775" s="17"/>
      <c r="E775" s="343"/>
      <c r="F775" s="17"/>
      <c r="G775" s="17"/>
      <c r="H775" s="17"/>
      <c r="I775" s="17"/>
      <c r="J775" s="17" t="s">
        <v>1026</v>
      </c>
      <c r="K775" s="17"/>
      <c r="L775" s="17"/>
      <c r="AC775" s="1301"/>
    </row>
    <row r="776">
      <c r="B776" s="17"/>
      <c r="C776" s="17"/>
      <c r="D776" s="17"/>
      <c r="E776" s="343"/>
      <c r="F776" s="17"/>
      <c r="G776" s="17"/>
      <c r="H776" s="17"/>
      <c r="I776" s="17"/>
      <c r="J776" s="17" t="s">
        <v>1026</v>
      </c>
      <c r="K776" s="17"/>
      <c r="L776" s="17"/>
      <c r="AC776" s="1301"/>
    </row>
    <row r="777">
      <c r="B777" s="17"/>
      <c r="C777" s="17"/>
      <c r="D777" s="17"/>
      <c r="E777" s="343"/>
      <c r="F777" s="17"/>
      <c r="G777" s="17"/>
      <c r="H777" s="17"/>
      <c r="I777" s="17"/>
      <c r="J777" s="17" t="s">
        <v>1026</v>
      </c>
      <c r="K777" s="17"/>
      <c r="L777" s="17"/>
      <c r="AC777" s="1301"/>
    </row>
    <row r="778">
      <c r="B778" s="17"/>
      <c r="C778" s="17"/>
      <c r="D778" s="17"/>
      <c r="E778" s="343"/>
      <c r="F778" s="17"/>
      <c r="G778" s="17"/>
      <c r="H778" s="17"/>
      <c r="I778" s="17"/>
      <c r="J778" s="17" t="s">
        <v>1026</v>
      </c>
      <c r="K778" s="17"/>
      <c r="L778" s="17"/>
      <c r="AC778" s="1301"/>
    </row>
    <row r="779">
      <c r="B779" s="17"/>
      <c r="C779" s="17"/>
      <c r="D779" s="17"/>
      <c r="E779" s="343"/>
      <c r="F779" s="17"/>
      <c r="G779" s="17"/>
      <c r="H779" s="17"/>
      <c r="I779" s="17"/>
      <c r="J779" s="17" t="s">
        <v>1026</v>
      </c>
      <c r="K779" s="17"/>
      <c r="L779" s="17"/>
      <c r="AC779" s="1301"/>
    </row>
    <row r="780">
      <c r="B780" s="17"/>
      <c r="C780" s="17"/>
      <c r="D780" s="17"/>
      <c r="E780" s="343"/>
      <c r="F780" s="17"/>
      <c r="G780" s="17"/>
      <c r="H780" s="17"/>
      <c r="I780" s="17"/>
      <c r="J780" s="17" t="s">
        <v>1026</v>
      </c>
      <c r="K780" s="17"/>
      <c r="L780" s="17"/>
      <c r="AC780" s="1301"/>
    </row>
    <row r="781">
      <c r="B781" s="17"/>
      <c r="C781" s="17"/>
      <c r="D781" s="17"/>
      <c r="E781" s="343"/>
      <c r="F781" s="17"/>
      <c r="G781" s="17"/>
      <c r="H781" s="17"/>
      <c r="I781" s="17"/>
      <c r="J781" s="17" t="s">
        <v>1026</v>
      </c>
      <c r="K781" s="17"/>
      <c r="L781" s="17"/>
      <c r="AC781" s="1301"/>
    </row>
    <row r="782">
      <c r="B782" s="17"/>
      <c r="C782" s="17"/>
      <c r="D782" s="17"/>
      <c r="E782" s="343"/>
      <c r="F782" s="17"/>
      <c r="G782" s="17"/>
      <c r="H782" s="17"/>
      <c r="I782" s="17"/>
      <c r="J782" s="17" t="s">
        <v>1026</v>
      </c>
      <c r="K782" s="17"/>
      <c r="L782" s="17"/>
      <c r="AC782" s="1301"/>
    </row>
    <row r="783">
      <c r="B783" s="17"/>
      <c r="C783" s="17"/>
      <c r="D783" s="17"/>
      <c r="E783" s="343"/>
      <c r="F783" s="17"/>
      <c r="G783" s="17"/>
      <c r="H783" s="17"/>
      <c r="I783" s="17"/>
      <c r="J783" s="17" t="s">
        <v>1026</v>
      </c>
      <c r="K783" s="17"/>
      <c r="L783" s="17"/>
      <c r="AC783" s="1301"/>
    </row>
    <row r="784">
      <c r="B784" s="17"/>
      <c r="C784" s="17"/>
      <c r="D784" s="17"/>
      <c r="E784" s="343"/>
      <c r="F784" s="17"/>
      <c r="G784" s="17"/>
      <c r="H784" s="17"/>
      <c r="I784" s="17"/>
      <c r="J784" s="17" t="s">
        <v>1026</v>
      </c>
      <c r="K784" s="17"/>
      <c r="L784" s="17"/>
      <c r="AC784" s="1301"/>
    </row>
    <row r="785">
      <c r="B785" s="17"/>
      <c r="C785" s="17"/>
      <c r="D785" s="17"/>
      <c r="E785" s="343"/>
      <c r="F785" s="17"/>
      <c r="G785" s="17"/>
      <c r="H785" s="17"/>
      <c r="I785" s="17"/>
      <c r="J785" s="17" t="s">
        <v>1026</v>
      </c>
      <c r="K785" s="17"/>
      <c r="L785" s="17"/>
      <c r="AC785" s="1301"/>
    </row>
    <row r="786">
      <c r="B786" s="17"/>
      <c r="C786" s="17"/>
      <c r="D786" s="17"/>
      <c r="E786" s="343"/>
      <c r="F786" s="17"/>
      <c r="G786" s="17"/>
      <c r="H786" s="17"/>
      <c r="I786" s="17"/>
      <c r="J786" s="17" t="s">
        <v>1026</v>
      </c>
      <c r="K786" s="17"/>
      <c r="L786" s="17"/>
      <c r="AC786" s="1301"/>
    </row>
    <row r="787">
      <c r="B787" s="17"/>
      <c r="C787" s="17"/>
      <c r="D787" s="17"/>
      <c r="E787" s="343"/>
      <c r="F787" s="17"/>
      <c r="G787" s="17"/>
      <c r="H787" s="17"/>
      <c r="I787" s="17"/>
      <c r="J787" s="17" t="s">
        <v>1026</v>
      </c>
      <c r="K787" s="17"/>
      <c r="L787" s="17"/>
      <c r="AC787" s="1301"/>
    </row>
    <row r="788">
      <c r="B788" s="17"/>
      <c r="C788" s="17"/>
      <c r="D788" s="17"/>
      <c r="E788" s="343"/>
      <c r="F788" s="17"/>
      <c r="G788" s="17"/>
      <c r="H788" s="17"/>
      <c r="I788" s="17"/>
      <c r="J788" s="17" t="s">
        <v>1026</v>
      </c>
      <c r="K788" s="17"/>
      <c r="L788" s="17"/>
      <c r="AC788" s="1301"/>
    </row>
    <row r="789">
      <c r="B789" s="17"/>
      <c r="C789" s="17"/>
      <c r="D789" s="17"/>
      <c r="E789" s="343"/>
      <c r="F789" s="17"/>
      <c r="G789" s="17"/>
      <c r="H789" s="17"/>
      <c r="I789" s="17"/>
      <c r="J789" s="17" t="s">
        <v>1026</v>
      </c>
      <c r="K789" s="17"/>
      <c r="L789" s="17"/>
      <c r="AC789" s="1301"/>
    </row>
    <row r="790">
      <c r="B790" s="17"/>
      <c r="C790" s="17"/>
      <c r="D790" s="17"/>
      <c r="E790" s="343"/>
      <c r="F790" s="17"/>
      <c r="G790" s="17"/>
      <c r="H790" s="17"/>
      <c r="I790" s="17"/>
      <c r="J790" s="17" t="s">
        <v>1026</v>
      </c>
      <c r="K790" s="17"/>
      <c r="L790" s="17"/>
      <c r="AC790" s="1301"/>
    </row>
    <row r="791">
      <c r="B791" s="17"/>
      <c r="C791" s="17"/>
      <c r="D791" s="17"/>
      <c r="E791" s="343"/>
      <c r="F791" s="17"/>
      <c r="G791" s="17"/>
      <c r="H791" s="17"/>
      <c r="I791" s="17"/>
      <c r="J791" s="17" t="s">
        <v>1026</v>
      </c>
      <c r="K791" s="17"/>
      <c r="L791" s="17"/>
      <c r="AC791" s="1301"/>
    </row>
    <row r="792">
      <c r="B792" s="17"/>
      <c r="C792" s="17"/>
      <c r="D792" s="17"/>
      <c r="E792" s="343"/>
      <c r="F792" s="17"/>
      <c r="G792" s="17"/>
      <c r="H792" s="17"/>
      <c r="I792" s="17"/>
      <c r="J792" s="17" t="s">
        <v>1026</v>
      </c>
      <c r="K792" s="17"/>
      <c r="L792" s="17"/>
      <c r="AC792" s="1301"/>
    </row>
    <row r="793">
      <c r="B793" s="17"/>
      <c r="C793" s="17"/>
      <c r="D793" s="17"/>
      <c r="E793" s="343"/>
      <c r="F793" s="17"/>
      <c r="G793" s="17"/>
      <c r="H793" s="17"/>
      <c r="I793" s="17"/>
      <c r="J793" s="17" t="s">
        <v>1026</v>
      </c>
      <c r="K793" s="17"/>
      <c r="L793" s="17"/>
      <c r="AC793" s="1301"/>
    </row>
    <row r="794">
      <c r="B794" s="17"/>
      <c r="C794" s="17"/>
      <c r="D794" s="17"/>
      <c r="E794" s="343"/>
      <c r="F794" s="17"/>
      <c r="G794" s="17"/>
      <c r="H794" s="17"/>
      <c r="I794" s="17"/>
      <c r="J794" s="17" t="s">
        <v>1026</v>
      </c>
      <c r="K794" s="17"/>
      <c r="L794" s="17"/>
      <c r="AC794" s="1301"/>
    </row>
    <row r="795">
      <c r="B795" s="17"/>
      <c r="C795" s="17"/>
      <c r="D795" s="17"/>
      <c r="E795" s="343"/>
      <c r="F795" s="17"/>
      <c r="G795" s="17"/>
      <c r="H795" s="17"/>
      <c r="I795" s="17"/>
      <c r="J795" s="17" t="s">
        <v>1026</v>
      </c>
      <c r="K795" s="17"/>
      <c r="L795" s="17"/>
      <c r="AC795" s="1301"/>
    </row>
    <row r="796">
      <c r="B796" s="17"/>
      <c r="C796" s="17"/>
      <c r="D796" s="17"/>
      <c r="E796" s="343"/>
      <c r="F796" s="17"/>
      <c r="G796" s="17"/>
      <c r="H796" s="17"/>
      <c r="I796" s="17"/>
      <c r="J796" s="17" t="s">
        <v>1026</v>
      </c>
      <c r="K796" s="17"/>
      <c r="L796" s="17"/>
      <c r="AC796" s="1301"/>
    </row>
    <row r="797">
      <c r="B797" s="17"/>
      <c r="C797" s="17"/>
      <c r="D797" s="17"/>
      <c r="E797" s="343"/>
      <c r="F797" s="17"/>
      <c r="G797" s="17"/>
      <c r="H797" s="17"/>
      <c r="I797" s="17"/>
      <c r="J797" s="17" t="s">
        <v>1026</v>
      </c>
      <c r="K797" s="17"/>
      <c r="L797" s="17"/>
      <c r="AC797" s="1301"/>
    </row>
    <row r="798">
      <c r="B798" s="17"/>
      <c r="C798" s="17"/>
      <c r="D798" s="17"/>
      <c r="E798" s="343"/>
      <c r="F798" s="17"/>
      <c r="G798" s="17"/>
      <c r="H798" s="17"/>
      <c r="I798" s="17"/>
      <c r="J798" s="17" t="s">
        <v>1026</v>
      </c>
      <c r="K798" s="17"/>
      <c r="L798" s="17"/>
      <c r="AC798" s="1301"/>
    </row>
    <row r="799">
      <c r="B799" s="17"/>
      <c r="C799" s="17"/>
      <c r="D799" s="17"/>
      <c r="E799" s="343"/>
      <c r="F799" s="17"/>
      <c r="G799" s="17"/>
      <c r="H799" s="17"/>
      <c r="I799" s="17"/>
      <c r="J799" s="17" t="s">
        <v>1026</v>
      </c>
      <c r="K799" s="17"/>
      <c r="L799" s="17"/>
      <c r="AC799" s="1301"/>
    </row>
    <row r="800">
      <c r="B800" s="17"/>
      <c r="C800" s="17"/>
      <c r="D800" s="17"/>
      <c r="E800" s="343"/>
      <c r="F800" s="17"/>
      <c r="G800" s="17"/>
      <c r="H800" s="17"/>
      <c r="I800" s="17"/>
      <c r="J800" s="17" t="s">
        <v>1026</v>
      </c>
      <c r="K800" s="17"/>
      <c r="L800" s="17"/>
      <c r="AC800" s="1301"/>
    </row>
    <row r="801">
      <c r="B801" s="17"/>
      <c r="C801" s="17"/>
      <c r="D801" s="17"/>
      <c r="E801" s="343"/>
      <c r="F801" s="17"/>
      <c r="G801" s="17"/>
      <c r="H801" s="17"/>
      <c r="I801" s="17"/>
      <c r="J801" s="17" t="s">
        <v>1026</v>
      </c>
      <c r="K801" s="17"/>
      <c r="L801" s="17"/>
      <c r="AC801" s="1301"/>
    </row>
    <row r="802">
      <c r="B802" s="17"/>
      <c r="C802" s="17"/>
      <c r="D802" s="17"/>
      <c r="E802" s="343"/>
      <c r="F802" s="17"/>
      <c r="G802" s="17"/>
      <c r="H802" s="17"/>
      <c r="I802" s="17"/>
      <c r="J802" s="17" t="s">
        <v>1026</v>
      </c>
      <c r="K802" s="17"/>
      <c r="L802" s="17"/>
      <c r="AC802" s="1301"/>
    </row>
    <row r="803">
      <c r="B803" s="17"/>
      <c r="C803" s="17"/>
      <c r="D803" s="17"/>
      <c r="E803" s="343"/>
      <c r="F803" s="17"/>
      <c r="G803" s="17"/>
      <c r="H803" s="17"/>
      <c r="I803" s="17"/>
      <c r="J803" s="17" t="s">
        <v>1026</v>
      </c>
      <c r="K803" s="17"/>
      <c r="L803" s="17"/>
      <c r="AC803" s="1301"/>
    </row>
    <row r="804">
      <c r="B804" s="17"/>
      <c r="C804" s="17"/>
      <c r="D804" s="17"/>
      <c r="E804" s="343"/>
      <c r="F804" s="17"/>
      <c r="G804" s="17"/>
      <c r="H804" s="17"/>
      <c r="I804" s="17"/>
      <c r="J804" s="17" t="s">
        <v>1026</v>
      </c>
      <c r="K804" s="17"/>
      <c r="L804" s="17"/>
      <c r="AC804" s="1301"/>
    </row>
    <row r="805">
      <c r="B805" s="17"/>
      <c r="C805" s="17"/>
      <c r="D805" s="17"/>
      <c r="E805" s="343"/>
      <c r="F805" s="17"/>
      <c r="G805" s="17"/>
      <c r="H805" s="17"/>
      <c r="I805" s="17"/>
      <c r="J805" s="17" t="s">
        <v>1026</v>
      </c>
      <c r="K805" s="17"/>
      <c r="L805" s="17"/>
      <c r="AC805" s="1301"/>
    </row>
    <row r="806">
      <c r="B806" s="17"/>
      <c r="C806" s="17"/>
      <c r="D806" s="17"/>
      <c r="E806" s="343"/>
      <c r="F806" s="17"/>
      <c r="G806" s="17"/>
      <c r="H806" s="17"/>
      <c r="I806" s="17"/>
      <c r="J806" s="17" t="s">
        <v>1026</v>
      </c>
      <c r="K806" s="17"/>
      <c r="L806" s="17"/>
      <c r="AC806" s="1301"/>
    </row>
    <row r="807">
      <c r="B807" s="17"/>
      <c r="C807" s="17"/>
      <c r="D807" s="17"/>
      <c r="E807" s="343"/>
      <c r="F807" s="17"/>
      <c r="G807" s="17"/>
      <c r="H807" s="17"/>
      <c r="I807" s="17"/>
      <c r="J807" s="17" t="s">
        <v>1026</v>
      </c>
      <c r="K807" s="17"/>
      <c r="L807" s="17"/>
      <c r="AC807" s="1301"/>
    </row>
    <row r="808">
      <c r="B808" s="17"/>
      <c r="C808" s="17"/>
      <c r="D808" s="17"/>
      <c r="E808" s="343"/>
      <c r="F808" s="17"/>
      <c r="G808" s="17"/>
      <c r="H808" s="17"/>
      <c r="I808" s="17"/>
      <c r="J808" s="17" t="s">
        <v>1026</v>
      </c>
      <c r="K808" s="17"/>
      <c r="L808" s="17"/>
      <c r="AC808" s="1301"/>
    </row>
    <row r="809">
      <c r="B809" s="17"/>
      <c r="C809" s="17"/>
      <c r="D809" s="17"/>
      <c r="E809" s="343"/>
      <c r="F809" s="17"/>
      <c r="G809" s="17"/>
      <c r="H809" s="17"/>
      <c r="I809" s="17"/>
      <c r="J809" s="17" t="s">
        <v>1026</v>
      </c>
      <c r="K809" s="17"/>
      <c r="L809" s="17"/>
      <c r="AC809" s="1301"/>
    </row>
    <row r="810">
      <c r="B810" s="17"/>
      <c r="C810" s="17"/>
      <c r="D810" s="17"/>
      <c r="E810" s="343"/>
      <c r="F810" s="17"/>
      <c r="G810" s="17"/>
      <c r="H810" s="17"/>
      <c r="I810" s="17"/>
      <c r="J810" s="17" t="s">
        <v>1026</v>
      </c>
      <c r="K810" s="17"/>
      <c r="L810" s="17"/>
      <c r="AC810" s="1301"/>
    </row>
    <row r="811">
      <c r="B811" s="17"/>
      <c r="C811" s="17"/>
      <c r="D811" s="17"/>
      <c r="E811" s="343"/>
      <c r="F811" s="17"/>
      <c r="G811" s="17"/>
      <c r="H811" s="17"/>
      <c r="I811" s="17"/>
      <c r="J811" s="17" t="s">
        <v>1026</v>
      </c>
      <c r="K811" s="17"/>
      <c r="L811" s="17"/>
      <c r="AC811" s="1301"/>
    </row>
    <row r="812">
      <c r="B812" s="17"/>
      <c r="C812" s="17"/>
      <c r="D812" s="17"/>
      <c r="E812" s="343"/>
      <c r="F812" s="17"/>
      <c r="G812" s="17"/>
      <c r="H812" s="17"/>
      <c r="I812" s="17"/>
      <c r="J812" s="17" t="s">
        <v>1026</v>
      </c>
      <c r="K812" s="17"/>
      <c r="L812" s="17"/>
      <c r="AC812" s="1301"/>
    </row>
    <row r="813">
      <c r="B813" s="17"/>
      <c r="C813" s="17"/>
      <c r="D813" s="17"/>
      <c r="E813" s="343"/>
      <c r="F813" s="17"/>
      <c r="G813" s="17"/>
      <c r="H813" s="17"/>
      <c r="I813" s="17"/>
      <c r="J813" s="17" t="s">
        <v>1026</v>
      </c>
      <c r="K813" s="17"/>
      <c r="L813" s="17"/>
      <c r="AC813" s="1301"/>
    </row>
    <row r="814">
      <c r="B814" s="17"/>
      <c r="C814" s="17"/>
      <c r="D814" s="17"/>
      <c r="E814" s="343"/>
      <c r="F814" s="17"/>
      <c r="G814" s="17"/>
      <c r="H814" s="17"/>
      <c r="I814" s="17"/>
      <c r="J814" s="17" t="s">
        <v>1026</v>
      </c>
      <c r="K814" s="17"/>
      <c r="L814" s="17"/>
      <c r="AC814" s="1301"/>
    </row>
    <row r="815">
      <c r="B815" s="17"/>
      <c r="C815" s="17"/>
      <c r="D815" s="17"/>
      <c r="E815" s="343"/>
      <c r="F815" s="17"/>
      <c r="G815" s="17"/>
      <c r="H815" s="17"/>
      <c r="I815" s="17"/>
      <c r="J815" s="17" t="s">
        <v>1026</v>
      </c>
      <c r="K815" s="17"/>
      <c r="L815" s="17"/>
      <c r="AC815" s="1301"/>
    </row>
    <row r="816">
      <c r="B816" s="17"/>
      <c r="C816" s="17"/>
      <c r="D816" s="17"/>
      <c r="E816" s="343"/>
      <c r="F816" s="17"/>
      <c r="G816" s="17"/>
      <c r="H816" s="17"/>
      <c r="I816" s="17"/>
      <c r="J816" s="17" t="s">
        <v>1026</v>
      </c>
      <c r="K816" s="17"/>
      <c r="L816" s="17"/>
      <c r="AC816" s="1301"/>
    </row>
    <row r="817">
      <c r="B817" s="17"/>
      <c r="C817" s="17"/>
      <c r="D817" s="17"/>
      <c r="E817" s="343"/>
      <c r="F817" s="17"/>
      <c r="G817" s="17"/>
      <c r="H817" s="17"/>
      <c r="I817" s="17"/>
      <c r="J817" s="17" t="s">
        <v>1026</v>
      </c>
      <c r="K817" s="17"/>
      <c r="L817" s="17"/>
      <c r="AC817" s="1301"/>
    </row>
    <row r="818">
      <c r="B818" s="17"/>
      <c r="C818" s="17"/>
      <c r="D818" s="17"/>
      <c r="E818" s="343"/>
      <c r="F818" s="17"/>
      <c r="G818" s="17"/>
      <c r="H818" s="17"/>
      <c r="I818" s="17"/>
      <c r="J818" s="17" t="s">
        <v>1026</v>
      </c>
      <c r="K818" s="17"/>
      <c r="L818" s="17"/>
      <c r="AC818" s="1301"/>
    </row>
    <row r="819">
      <c r="B819" s="17"/>
      <c r="C819" s="17"/>
      <c r="D819" s="17"/>
      <c r="E819" s="343"/>
      <c r="F819" s="17"/>
      <c r="G819" s="17"/>
      <c r="H819" s="17"/>
      <c r="I819" s="17"/>
      <c r="J819" s="17" t="s">
        <v>1026</v>
      </c>
      <c r="K819" s="17"/>
      <c r="L819" s="17"/>
      <c r="AC819" s="1301"/>
    </row>
    <row r="820">
      <c r="B820" s="17"/>
      <c r="C820" s="17"/>
      <c r="D820" s="17"/>
      <c r="E820" s="343"/>
      <c r="F820" s="17"/>
      <c r="G820" s="17"/>
      <c r="H820" s="17"/>
      <c r="I820" s="17"/>
      <c r="J820" s="17" t="s">
        <v>1026</v>
      </c>
      <c r="K820" s="17"/>
      <c r="L820" s="17"/>
      <c r="AC820" s="1301"/>
    </row>
    <row r="821">
      <c r="B821" s="17"/>
      <c r="C821" s="17"/>
      <c r="D821" s="17"/>
      <c r="E821" s="343"/>
      <c r="F821" s="17"/>
      <c r="G821" s="17"/>
      <c r="H821" s="17"/>
      <c r="I821" s="17"/>
      <c r="J821" s="17" t="s">
        <v>1026</v>
      </c>
      <c r="K821" s="17"/>
      <c r="L821" s="17"/>
      <c r="AC821" s="1301"/>
    </row>
    <row r="822">
      <c r="B822" s="17"/>
      <c r="C822" s="17"/>
      <c r="D822" s="17"/>
      <c r="E822" s="343"/>
      <c r="F822" s="17"/>
      <c r="G822" s="17"/>
      <c r="H822" s="17"/>
      <c r="I822" s="17"/>
      <c r="J822" s="17" t="s">
        <v>1026</v>
      </c>
      <c r="K822" s="17"/>
      <c r="L822" s="17"/>
      <c r="AC822" s="1301"/>
    </row>
    <row r="823">
      <c r="B823" s="17"/>
      <c r="C823" s="17"/>
      <c r="D823" s="17"/>
      <c r="E823" s="343"/>
      <c r="F823" s="17"/>
      <c r="G823" s="17"/>
      <c r="H823" s="17"/>
      <c r="I823" s="17"/>
      <c r="J823" s="17" t="s">
        <v>1026</v>
      </c>
      <c r="K823" s="17"/>
      <c r="L823" s="17"/>
      <c r="AC823" s="1301"/>
    </row>
    <row r="824">
      <c r="B824" s="17"/>
      <c r="C824" s="17"/>
      <c r="D824" s="17"/>
      <c r="E824" s="343"/>
      <c r="F824" s="17"/>
      <c r="G824" s="17"/>
      <c r="H824" s="17"/>
      <c r="I824" s="17"/>
      <c r="J824" s="17" t="s">
        <v>1026</v>
      </c>
      <c r="K824" s="17"/>
      <c r="L824" s="17"/>
      <c r="AC824" s="1301"/>
    </row>
    <row r="825">
      <c r="B825" s="17"/>
      <c r="C825" s="17"/>
      <c r="D825" s="17"/>
      <c r="E825" s="343"/>
      <c r="F825" s="17"/>
      <c r="G825" s="17"/>
      <c r="H825" s="17"/>
      <c r="I825" s="17"/>
      <c r="J825" s="17" t="s">
        <v>1026</v>
      </c>
      <c r="K825" s="17"/>
      <c r="L825" s="17"/>
      <c r="AC825" s="1301"/>
    </row>
    <row r="826">
      <c r="B826" s="17"/>
      <c r="C826" s="17"/>
      <c r="D826" s="17"/>
      <c r="E826" s="343"/>
      <c r="F826" s="17"/>
      <c r="G826" s="17"/>
      <c r="H826" s="17"/>
      <c r="I826" s="17"/>
      <c r="J826" s="17" t="s">
        <v>1026</v>
      </c>
      <c r="K826" s="17"/>
      <c r="L826" s="17"/>
      <c r="AC826" s="1301"/>
    </row>
    <row r="827">
      <c r="B827" s="17"/>
      <c r="C827" s="17"/>
      <c r="D827" s="17"/>
      <c r="E827" s="343"/>
      <c r="F827" s="17"/>
      <c r="G827" s="17"/>
      <c r="H827" s="17"/>
      <c r="I827" s="17"/>
      <c r="J827" s="17" t="s">
        <v>1026</v>
      </c>
      <c r="K827" s="17"/>
      <c r="L827" s="17"/>
      <c r="AC827" s="1301"/>
    </row>
    <row r="828">
      <c r="B828" s="17"/>
      <c r="C828" s="17"/>
      <c r="D828" s="17"/>
      <c r="E828" s="343"/>
      <c r="F828" s="17"/>
      <c r="G828" s="17"/>
      <c r="H828" s="17"/>
      <c r="I828" s="17"/>
      <c r="J828" s="17" t="s">
        <v>1026</v>
      </c>
      <c r="K828" s="17"/>
      <c r="L828" s="17"/>
      <c r="AC828" s="1301"/>
    </row>
    <row r="829">
      <c r="B829" s="17"/>
      <c r="C829" s="17"/>
      <c r="D829" s="17"/>
      <c r="E829" s="343"/>
      <c r="F829" s="17"/>
      <c r="G829" s="17"/>
      <c r="H829" s="17"/>
      <c r="I829" s="17"/>
      <c r="J829" s="17" t="s">
        <v>1026</v>
      </c>
      <c r="K829" s="17"/>
      <c r="L829" s="17"/>
      <c r="AC829" s="1301"/>
    </row>
    <row r="830">
      <c r="B830" s="17"/>
      <c r="C830" s="17"/>
      <c r="D830" s="17"/>
      <c r="E830" s="343"/>
      <c r="F830" s="17"/>
      <c r="G830" s="17"/>
      <c r="H830" s="17"/>
      <c r="I830" s="17"/>
      <c r="J830" s="17" t="s">
        <v>1026</v>
      </c>
      <c r="K830" s="17"/>
      <c r="L830" s="17"/>
      <c r="AC830" s="1301"/>
    </row>
    <row r="831">
      <c r="B831" s="17"/>
      <c r="C831" s="17"/>
      <c r="D831" s="17"/>
      <c r="E831" s="343"/>
      <c r="F831" s="17"/>
      <c r="G831" s="17"/>
      <c r="H831" s="17"/>
      <c r="I831" s="17"/>
      <c r="J831" s="17" t="s">
        <v>1026</v>
      </c>
      <c r="K831" s="17"/>
      <c r="L831" s="17"/>
      <c r="AC831" s="1301"/>
    </row>
    <row r="832">
      <c r="B832" s="17"/>
      <c r="C832" s="17"/>
      <c r="D832" s="17"/>
      <c r="E832" s="343"/>
      <c r="F832" s="17"/>
      <c r="G832" s="17"/>
      <c r="H832" s="17"/>
      <c r="I832" s="17"/>
      <c r="J832" s="17" t="s">
        <v>1026</v>
      </c>
      <c r="K832" s="17"/>
      <c r="L832" s="17"/>
      <c r="AC832" s="1301"/>
    </row>
    <row r="833">
      <c r="B833" s="17"/>
      <c r="C833" s="17"/>
      <c r="D833" s="17"/>
      <c r="E833" s="343"/>
      <c r="F833" s="17"/>
      <c r="G833" s="17"/>
      <c r="H833" s="17"/>
      <c r="I833" s="17"/>
      <c r="J833" s="17" t="s">
        <v>1026</v>
      </c>
      <c r="K833" s="17"/>
      <c r="L833" s="17"/>
      <c r="AC833" s="1301"/>
    </row>
    <row r="834">
      <c r="B834" s="17"/>
      <c r="C834" s="17"/>
      <c r="D834" s="17"/>
      <c r="E834" s="343"/>
      <c r="F834" s="17"/>
      <c r="G834" s="17"/>
      <c r="H834" s="17"/>
      <c r="I834" s="17"/>
      <c r="J834" s="17" t="s">
        <v>1026</v>
      </c>
      <c r="K834" s="17"/>
      <c r="L834" s="17"/>
      <c r="AC834" s="1301"/>
    </row>
    <row r="835">
      <c r="B835" s="17"/>
      <c r="C835" s="17"/>
      <c r="D835" s="17"/>
      <c r="E835" s="343"/>
      <c r="F835" s="17"/>
      <c r="G835" s="17"/>
      <c r="H835" s="17"/>
      <c r="I835" s="17"/>
      <c r="J835" s="17" t="s">
        <v>1026</v>
      </c>
      <c r="K835" s="17"/>
      <c r="L835" s="17"/>
      <c r="AC835" s="1301"/>
    </row>
    <row r="836">
      <c r="B836" s="17"/>
      <c r="C836" s="17"/>
      <c r="D836" s="17"/>
      <c r="E836" s="343"/>
      <c r="F836" s="17"/>
      <c r="G836" s="17"/>
      <c r="H836" s="17"/>
      <c r="I836" s="17"/>
      <c r="J836" s="17" t="s">
        <v>1026</v>
      </c>
      <c r="K836" s="17"/>
      <c r="L836" s="17"/>
      <c r="AC836" s="1301"/>
    </row>
    <row r="837">
      <c r="B837" s="17"/>
      <c r="C837" s="17"/>
      <c r="D837" s="17"/>
      <c r="E837" s="343"/>
      <c r="F837" s="17"/>
      <c r="G837" s="17"/>
      <c r="H837" s="17"/>
      <c r="I837" s="17"/>
      <c r="J837" s="17" t="s">
        <v>1026</v>
      </c>
      <c r="K837" s="17"/>
      <c r="L837" s="17"/>
      <c r="AC837" s="1301"/>
    </row>
    <row r="838">
      <c r="B838" s="17"/>
      <c r="C838" s="17"/>
      <c r="D838" s="17"/>
      <c r="E838" s="343"/>
      <c r="F838" s="17"/>
      <c r="G838" s="17"/>
      <c r="H838" s="17"/>
      <c r="I838" s="17"/>
      <c r="J838" s="17" t="s">
        <v>1026</v>
      </c>
      <c r="K838" s="17"/>
      <c r="L838" s="17"/>
      <c r="AC838" s="1301"/>
    </row>
    <row r="839">
      <c r="B839" s="17"/>
      <c r="C839" s="17"/>
      <c r="D839" s="17"/>
      <c r="E839" s="343"/>
      <c r="F839" s="17"/>
      <c r="G839" s="17"/>
      <c r="H839" s="17"/>
      <c r="I839" s="17"/>
      <c r="J839" s="17" t="s">
        <v>1026</v>
      </c>
      <c r="K839" s="17"/>
      <c r="L839" s="17"/>
      <c r="AC839" s="1301"/>
    </row>
    <row r="840">
      <c r="B840" s="17"/>
      <c r="C840" s="17"/>
      <c r="D840" s="17"/>
      <c r="E840" s="343"/>
      <c r="F840" s="17"/>
      <c r="G840" s="17"/>
      <c r="H840" s="17"/>
      <c r="I840" s="17"/>
      <c r="J840" s="17" t="s">
        <v>1026</v>
      </c>
      <c r="K840" s="17"/>
      <c r="L840" s="17"/>
      <c r="AC840" s="1301"/>
    </row>
    <row r="841">
      <c r="B841" s="17"/>
      <c r="C841" s="17"/>
      <c r="D841" s="17"/>
      <c r="E841" s="343"/>
      <c r="F841" s="17"/>
      <c r="G841" s="17"/>
      <c r="H841" s="17"/>
      <c r="I841" s="17"/>
      <c r="J841" s="17" t="s">
        <v>1026</v>
      </c>
      <c r="K841" s="17"/>
      <c r="L841" s="17"/>
      <c r="AC841" s="1301"/>
    </row>
    <row r="842">
      <c r="B842" s="17"/>
      <c r="C842" s="17"/>
      <c r="D842" s="17"/>
      <c r="E842" s="343"/>
      <c r="F842" s="17"/>
      <c r="G842" s="17"/>
      <c r="H842" s="17"/>
      <c r="I842" s="17"/>
      <c r="J842" s="17" t="s">
        <v>1026</v>
      </c>
      <c r="K842" s="17"/>
      <c r="L842" s="17"/>
      <c r="AC842" s="1301"/>
    </row>
    <row r="843">
      <c r="B843" s="17"/>
      <c r="C843" s="17"/>
      <c r="D843" s="17"/>
      <c r="E843" s="343"/>
      <c r="F843" s="17"/>
      <c r="G843" s="17"/>
      <c r="H843" s="17"/>
      <c r="I843" s="17"/>
      <c r="J843" s="17" t="s">
        <v>1026</v>
      </c>
      <c r="K843" s="17"/>
      <c r="L843" s="17"/>
      <c r="AC843" s="1301"/>
    </row>
    <row r="844">
      <c r="B844" s="17"/>
      <c r="C844" s="17"/>
      <c r="D844" s="17"/>
      <c r="E844" s="343"/>
      <c r="F844" s="17"/>
      <c r="G844" s="17"/>
      <c r="H844" s="17"/>
      <c r="I844" s="17"/>
      <c r="J844" s="17" t="s">
        <v>1026</v>
      </c>
      <c r="K844" s="17"/>
      <c r="L844" s="17"/>
      <c r="AC844" s="1301"/>
    </row>
    <row r="845">
      <c r="B845" s="17"/>
      <c r="C845" s="17"/>
      <c r="D845" s="17"/>
      <c r="E845" s="343"/>
      <c r="F845" s="17"/>
      <c r="G845" s="17"/>
      <c r="H845" s="17"/>
      <c r="I845" s="17"/>
      <c r="J845" s="17" t="s">
        <v>1026</v>
      </c>
      <c r="K845" s="17"/>
      <c r="L845" s="17"/>
      <c r="AC845" s="1301"/>
    </row>
    <row r="846">
      <c r="B846" s="17"/>
      <c r="C846" s="17"/>
      <c r="D846" s="17"/>
      <c r="E846" s="343"/>
      <c r="F846" s="17"/>
      <c r="G846" s="17"/>
      <c r="H846" s="17"/>
      <c r="I846" s="17"/>
      <c r="J846" s="17" t="s">
        <v>1026</v>
      </c>
      <c r="K846" s="17"/>
      <c r="L846" s="17"/>
      <c r="AC846" s="1301"/>
    </row>
    <row r="847">
      <c r="B847" s="17"/>
      <c r="C847" s="17"/>
      <c r="D847" s="17"/>
      <c r="E847" s="343"/>
      <c r="F847" s="17"/>
      <c r="G847" s="17"/>
      <c r="H847" s="17"/>
      <c r="I847" s="17"/>
      <c r="J847" s="17" t="s">
        <v>1026</v>
      </c>
      <c r="K847" s="17"/>
      <c r="L847" s="17"/>
      <c r="AC847" s="1301"/>
    </row>
    <row r="848">
      <c r="B848" s="17"/>
      <c r="C848" s="17"/>
      <c r="D848" s="17"/>
      <c r="E848" s="343"/>
      <c r="F848" s="17"/>
      <c r="G848" s="17"/>
      <c r="H848" s="17"/>
      <c r="I848" s="17"/>
      <c r="J848" s="17" t="s">
        <v>1026</v>
      </c>
      <c r="K848" s="17"/>
      <c r="L848" s="17"/>
      <c r="AC848" s="1301"/>
    </row>
    <row r="849">
      <c r="B849" s="17"/>
      <c r="C849" s="17"/>
      <c r="D849" s="17"/>
      <c r="E849" s="343"/>
      <c r="F849" s="17"/>
      <c r="G849" s="17"/>
      <c r="H849" s="17"/>
      <c r="I849" s="17"/>
      <c r="J849" s="17" t="s">
        <v>1026</v>
      </c>
      <c r="K849" s="17"/>
      <c r="L849" s="17"/>
      <c r="AC849" s="1301"/>
    </row>
    <row r="850">
      <c r="B850" s="17"/>
      <c r="C850" s="17"/>
      <c r="D850" s="17"/>
      <c r="E850" s="343"/>
      <c r="F850" s="17"/>
      <c r="G850" s="17"/>
      <c r="H850" s="17"/>
      <c r="I850" s="17"/>
      <c r="J850" s="17" t="s">
        <v>1026</v>
      </c>
      <c r="K850" s="17"/>
      <c r="L850" s="17"/>
      <c r="AC850" s="1301"/>
    </row>
    <row r="851">
      <c r="B851" s="17"/>
      <c r="C851" s="17"/>
      <c r="D851" s="17"/>
      <c r="E851" s="343"/>
      <c r="F851" s="17"/>
      <c r="G851" s="17"/>
      <c r="H851" s="17"/>
      <c r="I851" s="17"/>
      <c r="J851" s="17" t="s">
        <v>1026</v>
      </c>
      <c r="K851" s="17"/>
      <c r="L851" s="17"/>
      <c r="AC851" s="1301"/>
    </row>
    <row r="852">
      <c r="B852" s="17"/>
      <c r="C852" s="17"/>
      <c r="D852" s="17"/>
      <c r="E852" s="343"/>
      <c r="F852" s="17"/>
      <c r="G852" s="17"/>
      <c r="H852" s="17"/>
      <c r="I852" s="17"/>
      <c r="J852" s="17" t="s">
        <v>1026</v>
      </c>
      <c r="K852" s="17"/>
      <c r="L852" s="17"/>
      <c r="AC852" s="1301"/>
    </row>
    <row r="853">
      <c r="B853" s="17"/>
      <c r="C853" s="17"/>
      <c r="D853" s="17"/>
      <c r="E853" s="343"/>
      <c r="F853" s="17"/>
      <c r="G853" s="17"/>
      <c r="H853" s="17"/>
      <c r="I853" s="17"/>
      <c r="J853" s="17" t="s">
        <v>1026</v>
      </c>
      <c r="K853" s="17"/>
      <c r="L853" s="17"/>
      <c r="AC853" s="1301"/>
    </row>
    <row r="854">
      <c r="B854" s="17"/>
      <c r="C854" s="17"/>
      <c r="D854" s="17"/>
      <c r="E854" s="343"/>
      <c r="F854" s="17"/>
      <c r="G854" s="17"/>
      <c r="H854" s="17"/>
      <c r="I854" s="17"/>
      <c r="J854" s="17" t="s">
        <v>1026</v>
      </c>
      <c r="K854" s="17"/>
      <c r="L854" s="17"/>
      <c r="AC854" s="1301"/>
    </row>
    <row r="855">
      <c r="B855" s="17"/>
      <c r="C855" s="17"/>
      <c r="D855" s="17"/>
      <c r="E855" s="343"/>
      <c r="F855" s="17"/>
      <c r="G855" s="17"/>
      <c r="H855" s="17"/>
      <c r="I855" s="17"/>
      <c r="J855" s="17" t="s">
        <v>1026</v>
      </c>
      <c r="K855" s="17"/>
      <c r="L855" s="17"/>
      <c r="AC855" s="1301"/>
    </row>
    <row r="856">
      <c r="B856" s="17"/>
      <c r="C856" s="17"/>
      <c r="D856" s="17"/>
      <c r="E856" s="343"/>
      <c r="F856" s="17"/>
      <c r="G856" s="17"/>
      <c r="H856" s="17"/>
      <c r="I856" s="17"/>
      <c r="J856" s="17" t="s">
        <v>1026</v>
      </c>
      <c r="K856" s="17"/>
      <c r="L856" s="17"/>
      <c r="AC856" s="1301"/>
    </row>
    <row r="857">
      <c r="B857" s="17"/>
      <c r="C857" s="17"/>
      <c r="D857" s="17"/>
      <c r="E857" s="343"/>
      <c r="F857" s="17"/>
      <c r="G857" s="17"/>
      <c r="H857" s="17"/>
      <c r="I857" s="17"/>
      <c r="J857" s="17" t="s">
        <v>1026</v>
      </c>
      <c r="K857" s="17"/>
      <c r="L857" s="17"/>
      <c r="AC857" s="1301"/>
    </row>
    <row r="858">
      <c r="B858" s="17"/>
      <c r="C858" s="17"/>
      <c r="D858" s="17"/>
      <c r="E858" s="343"/>
      <c r="F858" s="17"/>
      <c r="G858" s="17"/>
      <c r="H858" s="17"/>
      <c r="I858" s="17"/>
      <c r="J858" s="17" t="s">
        <v>1026</v>
      </c>
      <c r="K858" s="17"/>
      <c r="L858" s="17"/>
      <c r="AC858" s="1301"/>
    </row>
    <row r="859">
      <c r="B859" s="17"/>
      <c r="C859" s="17"/>
      <c r="D859" s="17"/>
      <c r="E859" s="343"/>
      <c r="F859" s="17"/>
      <c r="G859" s="17"/>
      <c r="H859" s="17"/>
      <c r="I859" s="17"/>
      <c r="J859" s="17" t="s">
        <v>1026</v>
      </c>
      <c r="K859" s="17"/>
      <c r="L859" s="17"/>
      <c r="AC859" s="1301"/>
    </row>
    <row r="860">
      <c r="B860" s="17"/>
      <c r="C860" s="17"/>
      <c r="D860" s="17"/>
      <c r="E860" s="343"/>
      <c r="F860" s="17"/>
      <c r="G860" s="17"/>
      <c r="H860" s="17"/>
      <c r="I860" s="17"/>
      <c r="J860" s="17" t="s">
        <v>1026</v>
      </c>
      <c r="K860" s="17"/>
      <c r="L860" s="17"/>
      <c r="AC860" s="1301"/>
    </row>
    <row r="861">
      <c r="B861" s="17"/>
      <c r="C861" s="17"/>
      <c r="D861" s="17"/>
      <c r="E861" s="343"/>
      <c r="F861" s="17"/>
      <c r="G861" s="17"/>
      <c r="H861" s="17"/>
      <c r="I861" s="17"/>
      <c r="J861" s="17" t="s">
        <v>1026</v>
      </c>
      <c r="K861" s="17"/>
      <c r="L861" s="17"/>
      <c r="AC861" s="1301"/>
    </row>
    <row r="862">
      <c r="B862" s="17"/>
      <c r="C862" s="17"/>
      <c r="D862" s="17"/>
      <c r="E862" s="343"/>
      <c r="F862" s="17"/>
      <c r="G862" s="17"/>
      <c r="H862" s="17"/>
      <c r="I862" s="17"/>
      <c r="J862" s="17" t="s">
        <v>1026</v>
      </c>
      <c r="K862" s="17"/>
      <c r="L862" s="17"/>
      <c r="AC862" s="1301"/>
    </row>
    <row r="863">
      <c r="B863" s="17"/>
      <c r="C863" s="17"/>
      <c r="D863" s="17"/>
      <c r="E863" s="343"/>
      <c r="F863" s="17"/>
      <c r="G863" s="17"/>
      <c r="H863" s="17"/>
      <c r="I863" s="17"/>
      <c r="J863" s="17" t="s">
        <v>1026</v>
      </c>
      <c r="K863" s="17"/>
      <c r="L863" s="17"/>
      <c r="AC863" s="1301"/>
    </row>
    <row r="864">
      <c r="B864" s="17"/>
      <c r="C864" s="17"/>
      <c r="D864" s="17"/>
      <c r="E864" s="343"/>
      <c r="F864" s="17"/>
      <c r="G864" s="17"/>
      <c r="H864" s="17"/>
      <c r="I864" s="17"/>
      <c r="J864" s="17" t="s">
        <v>1026</v>
      </c>
      <c r="K864" s="17"/>
      <c r="L864" s="17"/>
      <c r="AC864" s="1301"/>
    </row>
    <row r="865">
      <c r="B865" s="17"/>
      <c r="C865" s="17"/>
      <c r="D865" s="17"/>
      <c r="E865" s="343"/>
      <c r="F865" s="17"/>
      <c r="G865" s="17"/>
      <c r="H865" s="17"/>
      <c r="I865" s="17"/>
      <c r="J865" s="17" t="s">
        <v>1026</v>
      </c>
      <c r="K865" s="17"/>
      <c r="L865" s="17"/>
      <c r="AC865" s="1301"/>
    </row>
    <row r="866">
      <c r="B866" s="17"/>
      <c r="C866" s="17"/>
      <c r="D866" s="17"/>
      <c r="E866" s="343"/>
      <c r="F866" s="17"/>
      <c r="G866" s="17"/>
      <c r="H866" s="17"/>
      <c r="I866" s="17"/>
      <c r="J866" s="17" t="s">
        <v>1026</v>
      </c>
      <c r="K866" s="17"/>
      <c r="L866" s="17"/>
      <c r="AC866" s="1301"/>
    </row>
    <row r="867">
      <c r="B867" s="17"/>
      <c r="C867" s="17"/>
      <c r="D867" s="17"/>
      <c r="E867" s="343"/>
      <c r="F867" s="17"/>
      <c r="G867" s="17"/>
      <c r="H867" s="17"/>
      <c r="I867" s="17"/>
      <c r="J867" s="17" t="s">
        <v>1026</v>
      </c>
      <c r="K867" s="17"/>
      <c r="L867" s="17"/>
      <c r="AC867" s="1301"/>
    </row>
    <row r="868">
      <c r="B868" s="17"/>
      <c r="C868" s="17"/>
      <c r="D868" s="17"/>
      <c r="E868" s="343"/>
      <c r="F868" s="17"/>
      <c r="G868" s="17"/>
      <c r="H868" s="17"/>
      <c r="I868" s="17"/>
      <c r="J868" s="17" t="s">
        <v>1026</v>
      </c>
      <c r="K868" s="17"/>
      <c r="L868" s="17"/>
      <c r="AC868" s="1301"/>
    </row>
    <row r="869">
      <c r="B869" s="17"/>
      <c r="C869" s="17"/>
      <c r="D869" s="17"/>
      <c r="E869" s="343"/>
      <c r="F869" s="17"/>
      <c r="G869" s="17"/>
      <c r="H869" s="17"/>
      <c r="I869" s="17"/>
      <c r="J869" s="17" t="s">
        <v>1026</v>
      </c>
      <c r="K869" s="17"/>
      <c r="L869" s="17"/>
      <c r="AC869" s="1301"/>
    </row>
    <row r="870">
      <c r="B870" s="17"/>
      <c r="C870" s="17"/>
      <c r="D870" s="17"/>
      <c r="E870" s="343"/>
      <c r="F870" s="17"/>
      <c r="G870" s="17"/>
      <c r="H870" s="17"/>
      <c r="I870" s="17"/>
      <c r="J870" s="17" t="s">
        <v>1026</v>
      </c>
      <c r="K870" s="17"/>
      <c r="L870" s="17"/>
      <c r="AC870" s="1301"/>
    </row>
    <row r="871">
      <c r="B871" s="17"/>
      <c r="C871" s="17"/>
      <c r="D871" s="17"/>
      <c r="E871" s="343"/>
      <c r="F871" s="17"/>
      <c r="G871" s="17"/>
      <c r="H871" s="17"/>
      <c r="I871" s="17"/>
      <c r="J871" s="17" t="s">
        <v>1026</v>
      </c>
      <c r="K871" s="17"/>
      <c r="L871" s="17"/>
      <c r="AC871" s="1301"/>
    </row>
    <row r="872">
      <c r="B872" s="17"/>
      <c r="C872" s="17"/>
      <c r="D872" s="17"/>
      <c r="E872" s="343"/>
      <c r="F872" s="17"/>
      <c r="G872" s="17"/>
      <c r="H872" s="17"/>
      <c r="I872" s="17"/>
      <c r="J872" s="17" t="s">
        <v>1026</v>
      </c>
      <c r="K872" s="17"/>
      <c r="L872" s="17"/>
      <c r="AC872" s="1301"/>
    </row>
    <row r="873">
      <c r="B873" s="17"/>
      <c r="C873" s="17"/>
      <c r="D873" s="17"/>
      <c r="E873" s="343"/>
      <c r="F873" s="17"/>
      <c r="G873" s="17"/>
      <c r="H873" s="17"/>
      <c r="I873" s="17"/>
      <c r="J873" s="17" t="s">
        <v>1026</v>
      </c>
      <c r="K873" s="17"/>
      <c r="L873" s="17"/>
      <c r="AC873" s="1301"/>
    </row>
    <row r="874">
      <c r="B874" s="17"/>
      <c r="C874" s="17"/>
      <c r="D874" s="17"/>
      <c r="E874" s="343"/>
      <c r="F874" s="17"/>
      <c r="G874" s="17"/>
      <c r="H874" s="17"/>
      <c r="I874" s="17"/>
      <c r="J874" s="17" t="s">
        <v>1026</v>
      </c>
      <c r="K874" s="17"/>
      <c r="L874" s="17"/>
      <c r="AC874" s="1301"/>
    </row>
    <row r="875">
      <c r="B875" s="17"/>
      <c r="C875" s="17"/>
      <c r="D875" s="17"/>
      <c r="E875" s="343"/>
      <c r="F875" s="17"/>
      <c r="G875" s="17"/>
      <c r="H875" s="17"/>
      <c r="I875" s="17"/>
      <c r="J875" s="17" t="s">
        <v>1026</v>
      </c>
      <c r="K875" s="17"/>
      <c r="L875" s="17"/>
      <c r="AC875" s="1301"/>
    </row>
    <row r="876">
      <c r="B876" s="17"/>
      <c r="C876" s="17"/>
      <c r="D876" s="17"/>
      <c r="E876" s="343"/>
      <c r="F876" s="17"/>
      <c r="G876" s="17"/>
      <c r="H876" s="17"/>
      <c r="I876" s="17"/>
      <c r="J876" s="17" t="s">
        <v>1026</v>
      </c>
      <c r="K876" s="17"/>
      <c r="L876" s="17"/>
      <c r="AC876" s="1301"/>
    </row>
    <row r="877">
      <c r="B877" s="17"/>
      <c r="C877" s="17"/>
      <c r="D877" s="17"/>
      <c r="E877" s="343"/>
      <c r="F877" s="17"/>
      <c r="G877" s="17"/>
      <c r="H877" s="17"/>
      <c r="I877" s="17"/>
      <c r="J877" s="17" t="s">
        <v>1026</v>
      </c>
      <c r="K877" s="17"/>
      <c r="L877" s="17"/>
      <c r="AC877" s="1301"/>
    </row>
    <row r="878">
      <c r="B878" s="17"/>
      <c r="C878" s="17"/>
      <c r="D878" s="17"/>
      <c r="E878" s="343"/>
      <c r="F878" s="17"/>
      <c r="G878" s="17"/>
      <c r="H878" s="17"/>
      <c r="I878" s="17"/>
      <c r="J878" s="17" t="s">
        <v>1026</v>
      </c>
      <c r="K878" s="17"/>
      <c r="L878" s="17"/>
      <c r="AC878" s="1301"/>
    </row>
    <row r="879">
      <c r="B879" s="17"/>
      <c r="C879" s="17"/>
      <c r="D879" s="17"/>
      <c r="E879" s="343"/>
      <c r="F879" s="17"/>
      <c r="G879" s="17"/>
      <c r="H879" s="17"/>
      <c r="I879" s="17"/>
      <c r="J879" s="17" t="s">
        <v>1026</v>
      </c>
      <c r="K879" s="17"/>
      <c r="L879" s="17"/>
      <c r="AC879" s="1301"/>
    </row>
    <row r="880">
      <c r="B880" s="17"/>
      <c r="C880" s="17"/>
      <c r="D880" s="17"/>
      <c r="E880" s="343"/>
      <c r="F880" s="17"/>
      <c r="G880" s="17"/>
      <c r="H880" s="17"/>
      <c r="I880" s="17"/>
      <c r="J880" s="17" t="s">
        <v>1026</v>
      </c>
      <c r="K880" s="17"/>
      <c r="L880" s="17"/>
      <c r="AC880" s="1301"/>
    </row>
    <row r="881">
      <c r="B881" s="17"/>
      <c r="C881" s="17"/>
      <c r="D881" s="17"/>
      <c r="E881" s="343"/>
      <c r="F881" s="17"/>
      <c r="G881" s="17"/>
      <c r="H881" s="17"/>
      <c r="I881" s="17"/>
      <c r="J881" s="17" t="s">
        <v>1026</v>
      </c>
      <c r="K881" s="17"/>
      <c r="L881" s="17"/>
      <c r="AC881" s="1301"/>
    </row>
    <row r="882">
      <c r="B882" s="17"/>
      <c r="C882" s="17"/>
      <c r="D882" s="17"/>
      <c r="E882" s="343"/>
      <c r="F882" s="17"/>
      <c r="G882" s="17"/>
      <c r="H882" s="17"/>
      <c r="I882" s="17"/>
      <c r="J882" s="17" t="s">
        <v>1026</v>
      </c>
      <c r="K882" s="17"/>
      <c r="L882" s="17"/>
      <c r="AC882" s="1301"/>
    </row>
    <row r="883">
      <c r="B883" s="17"/>
      <c r="C883" s="17"/>
      <c r="D883" s="17"/>
      <c r="E883" s="343"/>
      <c r="F883" s="17"/>
      <c r="G883" s="17"/>
      <c r="H883" s="17"/>
      <c r="I883" s="17"/>
      <c r="J883" s="17" t="s">
        <v>1026</v>
      </c>
      <c r="K883" s="17"/>
      <c r="L883" s="17"/>
      <c r="AC883" s="1301"/>
    </row>
    <row r="884">
      <c r="B884" s="17"/>
      <c r="C884" s="17"/>
      <c r="D884" s="17"/>
      <c r="E884" s="343"/>
      <c r="F884" s="17"/>
      <c r="G884" s="17"/>
      <c r="H884" s="17"/>
      <c r="I884" s="17"/>
      <c r="J884" s="17" t="s">
        <v>1026</v>
      </c>
      <c r="K884" s="17"/>
      <c r="L884" s="17"/>
      <c r="AC884" s="1301"/>
    </row>
    <row r="885">
      <c r="B885" s="17"/>
      <c r="C885" s="17"/>
      <c r="D885" s="17"/>
      <c r="E885" s="343"/>
      <c r="F885" s="17"/>
      <c r="G885" s="17"/>
      <c r="H885" s="17"/>
      <c r="I885" s="17"/>
      <c r="J885" s="17" t="s">
        <v>1026</v>
      </c>
      <c r="K885" s="17"/>
      <c r="L885" s="17"/>
      <c r="AC885" s="1301"/>
    </row>
    <row r="886">
      <c r="B886" s="17"/>
      <c r="C886" s="17"/>
      <c r="D886" s="17"/>
      <c r="E886" s="343"/>
      <c r="F886" s="17"/>
      <c r="G886" s="17"/>
      <c r="H886" s="17"/>
      <c r="I886" s="17"/>
      <c r="J886" s="17" t="s">
        <v>1026</v>
      </c>
      <c r="K886" s="17"/>
      <c r="L886" s="17"/>
      <c r="AC886" s="1301"/>
    </row>
    <row r="887">
      <c r="B887" s="17"/>
      <c r="C887" s="17"/>
      <c r="D887" s="17"/>
      <c r="E887" s="343"/>
      <c r="F887" s="17"/>
      <c r="G887" s="17"/>
      <c r="H887" s="17"/>
      <c r="I887" s="17"/>
      <c r="J887" s="17" t="s">
        <v>1026</v>
      </c>
      <c r="K887" s="17"/>
      <c r="L887" s="17"/>
      <c r="AC887" s="1301"/>
    </row>
    <row r="888">
      <c r="B888" s="17"/>
      <c r="C888" s="17"/>
      <c r="D888" s="17"/>
      <c r="E888" s="343"/>
      <c r="F888" s="17"/>
      <c r="G888" s="17"/>
      <c r="H888" s="17"/>
      <c r="I888" s="17"/>
      <c r="J888" s="17" t="s">
        <v>1026</v>
      </c>
      <c r="K888" s="17"/>
      <c r="L888" s="17"/>
      <c r="AC888" s="1301"/>
    </row>
    <row r="889">
      <c r="B889" s="17"/>
      <c r="C889" s="17"/>
      <c r="D889" s="17"/>
      <c r="E889" s="343"/>
      <c r="F889" s="17"/>
      <c r="G889" s="17"/>
      <c r="H889" s="17"/>
      <c r="I889" s="17"/>
      <c r="J889" s="17" t="s">
        <v>1026</v>
      </c>
      <c r="K889" s="17"/>
      <c r="L889" s="17"/>
      <c r="AC889" s="1301"/>
    </row>
    <row r="890">
      <c r="B890" s="17"/>
      <c r="C890" s="17"/>
      <c r="D890" s="17"/>
      <c r="E890" s="343"/>
      <c r="F890" s="17"/>
      <c r="G890" s="17"/>
      <c r="H890" s="17"/>
      <c r="I890" s="17"/>
      <c r="J890" s="17" t="s">
        <v>1026</v>
      </c>
      <c r="K890" s="17"/>
      <c r="L890" s="17"/>
      <c r="AC890" s="1301"/>
    </row>
    <row r="891">
      <c r="B891" s="17"/>
      <c r="C891" s="17"/>
      <c r="D891" s="17"/>
      <c r="E891" s="343"/>
      <c r="F891" s="17"/>
      <c r="G891" s="17"/>
      <c r="H891" s="17"/>
      <c r="I891" s="17"/>
      <c r="J891" s="17" t="s">
        <v>1026</v>
      </c>
      <c r="K891" s="17"/>
      <c r="L891" s="17"/>
      <c r="AC891" s="1301"/>
    </row>
    <row r="892">
      <c r="B892" s="17"/>
      <c r="C892" s="17"/>
      <c r="D892" s="17"/>
      <c r="E892" s="343"/>
      <c r="F892" s="17"/>
      <c r="G892" s="17"/>
      <c r="H892" s="17"/>
      <c r="I892" s="17"/>
      <c r="J892" s="17" t="s">
        <v>1026</v>
      </c>
      <c r="K892" s="17"/>
      <c r="L892" s="17"/>
      <c r="AC892" s="1301"/>
    </row>
    <row r="893">
      <c r="B893" s="17"/>
      <c r="C893" s="17"/>
      <c r="D893" s="17"/>
      <c r="E893" s="343"/>
      <c r="F893" s="17"/>
      <c r="G893" s="17"/>
      <c r="H893" s="17"/>
      <c r="I893" s="17"/>
      <c r="J893" s="17" t="s">
        <v>1026</v>
      </c>
      <c r="K893" s="17"/>
      <c r="L893" s="17"/>
      <c r="AC893" s="1301"/>
    </row>
    <row r="894">
      <c r="B894" s="17"/>
      <c r="C894" s="17"/>
      <c r="D894" s="17"/>
      <c r="E894" s="343"/>
      <c r="F894" s="17"/>
      <c r="G894" s="17"/>
      <c r="H894" s="17"/>
      <c r="I894" s="17"/>
      <c r="J894" s="17" t="s">
        <v>1026</v>
      </c>
      <c r="K894" s="17"/>
      <c r="L894" s="17"/>
      <c r="AC894" s="1301"/>
    </row>
    <row r="895">
      <c r="B895" s="17"/>
      <c r="C895" s="17"/>
      <c r="D895" s="17"/>
      <c r="E895" s="343"/>
      <c r="F895" s="17"/>
      <c r="G895" s="17"/>
      <c r="H895" s="17"/>
      <c r="I895" s="17"/>
      <c r="J895" s="17" t="s">
        <v>1026</v>
      </c>
      <c r="K895" s="17"/>
      <c r="L895" s="17"/>
      <c r="AC895" s="1301"/>
    </row>
    <row r="896">
      <c r="B896" s="17"/>
      <c r="C896" s="17"/>
      <c r="D896" s="17"/>
      <c r="E896" s="343"/>
      <c r="F896" s="17"/>
      <c r="G896" s="17"/>
      <c r="H896" s="17"/>
      <c r="I896" s="17"/>
      <c r="J896" s="17" t="s">
        <v>1026</v>
      </c>
      <c r="K896" s="17"/>
      <c r="L896" s="17"/>
      <c r="AC896" s="1301"/>
    </row>
    <row r="897">
      <c r="B897" s="17"/>
      <c r="C897" s="17"/>
      <c r="D897" s="17"/>
      <c r="E897" s="343"/>
      <c r="F897" s="17"/>
      <c r="G897" s="17"/>
      <c r="H897" s="17"/>
      <c r="I897" s="17"/>
      <c r="J897" s="17" t="s">
        <v>1026</v>
      </c>
      <c r="K897" s="17"/>
      <c r="L897" s="17"/>
      <c r="AC897" s="1301"/>
    </row>
    <row r="898">
      <c r="B898" s="17"/>
      <c r="C898" s="17"/>
      <c r="D898" s="17"/>
      <c r="E898" s="343"/>
      <c r="F898" s="17"/>
      <c r="G898" s="17"/>
      <c r="H898" s="17"/>
      <c r="I898" s="17"/>
      <c r="J898" s="17" t="s">
        <v>1026</v>
      </c>
      <c r="K898" s="17"/>
      <c r="L898" s="17"/>
      <c r="AC898" s="1301"/>
    </row>
    <row r="899">
      <c r="B899" s="17"/>
      <c r="C899" s="17"/>
      <c r="D899" s="17"/>
      <c r="E899" s="343"/>
      <c r="F899" s="17"/>
      <c r="G899" s="17"/>
      <c r="H899" s="17"/>
      <c r="I899" s="17"/>
      <c r="J899" s="17" t="s">
        <v>1026</v>
      </c>
      <c r="K899" s="17"/>
      <c r="L899" s="17"/>
      <c r="AC899" s="1301"/>
    </row>
    <row r="900">
      <c r="B900" s="17"/>
      <c r="C900" s="17"/>
      <c r="D900" s="17"/>
      <c r="E900" s="343"/>
      <c r="F900" s="17"/>
      <c r="G900" s="17"/>
      <c r="H900" s="17"/>
      <c r="I900" s="17"/>
      <c r="J900" s="17" t="s">
        <v>1026</v>
      </c>
      <c r="K900" s="17"/>
      <c r="L900" s="17"/>
      <c r="AC900" s="1301"/>
    </row>
    <row r="901">
      <c r="B901" s="17"/>
      <c r="C901" s="17"/>
      <c r="D901" s="17"/>
      <c r="E901" s="343"/>
      <c r="F901" s="17"/>
      <c r="G901" s="17"/>
      <c r="H901" s="17"/>
      <c r="I901" s="17"/>
      <c r="J901" s="17" t="s">
        <v>1026</v>
      </c>
      <c r="K901" s="17"/>
      <c r="L901" s="17"/>
      <c r="AC901" s="1301"/>
    </row>
    <row r="902">
      <c r="B902" s="17"/>
      <c r="C902" s="17"/>
      <c r="D902" s="17"/>
      <c r="E902" s="343"/>
      <c r="F902" s="17"/>
      <c r="G902" s="17"/>
      <c r="H902" s="17"/>
      <c r="I902" s="17"/>
      <c r="J902" s="17" t="s">
        <v>1026</v>
      </c>
      <c r="K902" s="17"/>
      <c r="L902" s="17"/>
      <c r="AC902" s="1301"/>
    </row>
    <row r="903">
      <c r="B903" s="17"/>
      <c r="C903" s="17"/>
      <c r="D903" s="17"/>
      <c r="E903" s="343"/>
      <c r="F903" s="17"/>
      <c r="G903" s="17"/>
      <c r="H903" s="17"/>
      <c r="I903" s="17"/>
      <c r="J903" s="17" t="s">
        <v>1026</v>
      </c>
      <c r="K903" s="17"/>
      <c r="L903" s="17"/>
      <c r="AC903" s="1301"/>
    </row>
    <row r="904">
      <c r="B904" s="17"/>
      <c r="C904" s="17"/>
      <c r="D904" s="17"/>
      <c r="E904" s="343"/>
      <c r="F904" s="17"/>
      <c r="G904" s="17"/>
      <c r="H904" s="17"/>
      <c r="I904" s="17"/>
      <c r="J904" s="17" t="s">
        <v>1026</v>
      </c>
      <c r="K904" s="17"/>
      <c r="L904" s="17"/>
      <c r="AC904" s="1301"/>
    </row>
    <row r="905">
      <c r="B905" s="17"/>
      <c r="C905" s="17"/>
      <c r="D905" s="17"/>
      <c r="E905" s="343"/>
      <c r="F905" s="17"/>
      <c r="G905" s="17"/>
      <c r="H905" s="17"/>
      <c r="I905" s="17"/>
      <c r="J905" s="17" t="s">
        <v>1026</v>
      </c>
      <c r="K905" s="17"/>
      <c r="L905" s="17"/>
      <c r="AC905" s="1301"/>
    </row>
    <row r="906">
      <c r="B906" s="17"/>
      <c r="C906" s="17"/>
      <c r="D906" s="17"/>
      <c r="E906" s="343"/>
      <c r="F906" s="17"/>
      <c r="G906" s="17"/>
      <c r="H906" s="17"/>
      <c r="I906" s="17"/>
      <c r="J906" s="17" t="s">
        <v>1026</v>
      </c>
      <c r="K906" s="17"/>
      <c r="L906" s="17"/>
      <c r="AC906" s="1301"/>
    </row>
    <row r="907">
      <c r="B907" s="17"/>
      <c r="C907" s="17"/>
      <c r="D907" s="17"/>
      <c r="E907" s="343"/>
      <c r="F907" s="17"/>
      <c r="G907" s="17"/>
      <c r="H907" s="17"/>
      <c r="I907" s="17"/>
      <c r="J907" s="17" t="s">
        <v>1026</v>
      </c>
      <c r="K907" s="17"/>
      <c r="L907" s="17"/>
      <c r="AC907" s="1301"/>
    </row>
    <row r="908">
      <c r="B908" s="17"/>
      <c r="C908" s="17"/>
      <c r="D908" s="17"/>
      <c r="E908" s="343"/>
      <c r="F908" s="17"/>
      <c r="G908" s="17"/>
      <c r="H908" s="17"/>
      <c r="I908" s="17"/>
      <c r="J908" s="17" t="s">
        <v>1026</v>
      </c>
      <c r="K908" s="17"/>
      <c r="L908" s="17"/>
      <c r="AC908" s="1301"/>
    </row>
    <row r="909">
      <c r="B909" s="17"/>
      <c r="C909" s="17"/>
      <c r="D909" s="17"/>
      <c r="E909" s="343"/>
      <c r="F909" s="17"/>
      <c r="G909" s="17"/>
      <c r="H909" s="17"/>
      <c r="I909" s="17"/>
      <c r="J909" s="17" t="s">
        <v>1026</v>
      </c>
      <c r="K909" s="17"/>
      <c r="L909" s="17"/>
      <c r="AC909" s="1301"/>
    </row>
    <row r="910">
      <c r="B910" s="17"/>
      <c r="C910" s="17"/>
      <c r="D910" s="17"/>
      <c r="E910" s="343"/>
      <c r="F910" s="17"/>
      <c r="G910" s="17"/>
      <c r="H910" s="17"/>
      <c r="I910" s="17"/>
      <c r="J910" s="17" t="s">
        <v>1026</v>
      </c>
      <c r="K910" s="17"/>
      <c r="L910" s="17"/>
      <c r="AC910" s="1301"/>
    </row>
    <row r="911">
      <c r="B911" s="17"/>
      <c r="C911" s="17"/>
      <c r="D911" s="17"/>
      <c r="E911" s="343"/>
      <c r="F911" s="17"/>
      <c r="G911" s="17"/>
      <c r="H911" s="17"/>
      <c r="I911" s="17"/>
      <c r="J911" s="17" t="s">
        <v>1026</v>
      </c>
      <c r="K911" s="17"/>
      <c r="L911" s="17"/>
      <c r="AC911" s="1301"/>
    </row>
    <row r="912">
      <c r="B912" s="17"/>
      <c r="C912" s="17"/>
      <c r="D912" s="17"/>
      <c r="E912" s="343"/>
      <c r="F912" s="17"/>
      <c r="G912" s="17"/>
      <c r="H912" s="17"/>
      <c r="I912" s="17"/>
      <c r="J912" s="17" t="s">
        <v>1026</v>
      </c>
      <c r="K912" s="17"/>
      <c r="L912" s="17"/>
      <c r="AC912" s="1301"/>
    </row>
    <row r="913">
      <c r="B913" s="17"/>
      <c r="C913" s="17"/>
      <c r="D913" s="17"/>
      <c r="E913" s="343"/>
      <c r="F913" s="17"/>
      <c r="G913" s="17"/>
      <c r="H913" s="17"/>
      <c r="I913" s="17"/>
      <c r="J913" s="17" t="s">
        <v>1026</v>
      </c>
      <c r="K913" s="17"/>
      <c r="L913" s="17"/>
      <c r="AC913" s="1301"/>
    </row>
    <row r="914">
      <c r="B914" s="17"/>
      <c r="C914" s="17"/>
      <c r="D914" s="17"/>
      <c r="E914" s="343"/>
      <c r="F914" s="17"/>
      <c r="G914" s="17"/>
      <c r="H914" s="17"/>
      <c r="I914" s="17"/>
      <c r="J914" s="17" t="s">
        <v>1026</v>
      </c>
      <c r="K914" s="17"/>
      <c r="L914" s="17"/>
      <c r="AC914" s="1301"/>
    </row>
    <row r="915">
      <c r="B915" s="17"/>
      <c r="C915" s="17"/>
      <c r="D915" s="17"/>
      <c r="E915" s="343"/>
      <c r="F915" s="17"/>
      <c r="G915" s="17"/>
      <c r="H915" s="17"/>
      <c r="I915" s="17"/>
      <c r="J915" s="17" t="s">
        <v>1026</v>
      </c>
      <c r="K915" s="17"/>
      <c r="L915" s="17"/>
      <c r="AC915" s="1301"/>
    </row>
    <row r="916">
      <c r="B916" s="17"/>
      <c r="C916" s="17"/>
      <c r="D916" s="17"/>
      <c r="E916" s="343"/>
      <c r="F916" s="17"/>
      <c r="G916" s="17"/>
      <c r="H916" s="17"/>
      <c r="I916" s="17"/>
      <c r="J916" s="17" t="s">
        <v>1026</v>
      </c>
      <c r="K916" s="17"/>
      <c r="L916" s="17"/>
      <c r="AC916" s="1301"/>
    </row>
    <row r="917">
      <c r="B917" s="17"/>
      <c r="C917" s="17"/>
      <c r="D917" s="17"/>
      <c r="E917" s="343"/>
      <c r="F917" s="17"/>
      <c r="G917" s="17"/>
      <c r="H917" s="17"/>
      <c r="I917" s="17"/>
      <c r="J917" s="17" t="s">
        <v>1026</v>
      </c>
      <c r="K917" s="17"/>
      <c r="L917" s="17"/>
      <c r="AC917" s="1301"/>
    </row>
    <row r="918">
      <c r="B918" s="17"/>
      <c r="C918" s="17"/>
      <c r="D918" s="17"/>
      <c r="E918" s="343"/>
      <c r="F918" s="17"/>
      <c r="G918" s="17"/>
      <c r="H918" s="17"/>
      <c r="I918" s="17"/>
      <c r="J918" s="17" t="s">
        <v>1026</v>
      </c>
      <c r="K918" s="17"/>
      <c r="L918" s="17"/>
      <c r="AC918" s="1301"/>
    </row>
    <row r="919">
      <c r="B919" s="17"/>
      <c r="C919" s="17"/>
      <c r="D919" s="17"/>
      <c r="E919" s="343"/>
      <c r="F919" s="17"/>
      <c r="G919" s="17"/>
      <c r="H919" s="17"/>
      <c r="I919" s="17"/>
      <c r="J919" s="17" t="s">
        <v>1026</v>
      </c>
      <c r="K919" s="17"/>
      <c r="L919" s="17"/>
      <c r="AC919" s="1301"/>
    </row>
    <row r="920">
      <c r="B920" s="17"/>
      <c r="C920" s="17"/>
      <c r="D920" s="17"/>
      <c r="E920" s="343"/>
      <c r="F920" s="17"/>
      <c r="G920" s="17"/>
      <c r="H920" s="17"/>
      <c r="I920" s="17"/>
      <c r="J920" s="17" t="s">
        <v>1026</v>
      </c>
      <c r="K920" s="17"/>
      <c r="L920" s="17"/>
      <c r="AC920" s="1301"/>
    </row>
    <row r="921">
      <c r="B921" s="17"/>
      <c r="C921" s="17"/>
      <c r="D921" s="17"/>
      <c r="E921" s="343"/>
      <c r="F921" s="17"/>
      <c r="G921" s="17"/>
      <c r="H921" s="17"/>
      <c r="I921" s="17"/>
      <c r="J921" s="17" t="s">
        <v>1026</v>
      </c>
      <c r="K921" s="17"/>
      <c r="L921" s="17"/>
      <c r="AC921" s="1301"/>
    </row>
    <row r="922">
      <c r="B922" s="17"/>
      <c r="C922" s="17"/>
      <c r="D922" s="17"/>
      <c r="E922" s="343"/>
      <c r="F922" s="17"/>
      <c r="G922" s="17"/>
      <c r="H922" s="17"/>
      <c r="I922" s="17"/>
      <c r="J922" s="17" t="s">
        <v>1026</v>
      </c>
      <c r="K922" s="17"/>
      <c r="L922" s="17"/>
      <c r="AC922" s="1301"/>
    </row>
    <row r="923">
      <c r="B923" s="17"/>
      <c r="C923" s="17"/>
      <c r="D923" s="17"/>
      <c r="E923" s="343"/>
      <c r="F923" s="17"/>
      <c r="G923" s="17"/>
      <c r="H923" s="17"/>
      <c r="I923" s="17"/>
      <c r="J923" s="17" t="s">
        <v>1026</v>
      </c>
      <c r="K923" s="17"/>
      <c r="L923" s="17"/>
      <c r="AC923" s="1301"/>
    </row>
    <row r="924">
      <c r="B924" s="17"/>
      <c r="C924" s="17"/>
      <c r="D924" s="17"/>
      <c r="E924" s="343"/>
      <c r="F924" s="17"/>
      <c r="G924" s="17"/>
      <c r="H924" s="17"/>
      <c r="I924" s="17"/>
      <c r="J924" s="17" t="s">
        <v>1026</v>
      </c>
      <c r="K924" s="17"/>
      <c r="L924" s="17"/>
      <c r="AC924" s="1301"/>
    </row>
    <row r="925">
      <c r="B925" s="17"/>
      <c r="C925" s="17"/>
      <c r="D925" s="17"/>
      <c r="E925" s="343"/>
      <c r="F925" s="17"/>
      <c r="G925" s="17"/>
      <c r="H925" s="17"/>
      <c r="I925" s="17"/>
      <c r="J925" s="17" t="s">
        <v>1026</v>
      </c>
      <c r="K925" s="17"/>
      <c r="L925" s="17"/>
      <c r="AC925" s="1301"/>
    </row>
    <row r="926">
      <c r="B926" s="17"/>
      <c r="C926" s="17"/>
      <c r="D926" s="17"/>
      <c r="E926" s="343"/>
      <c r="F926" s="17"/>
      <c r="G926" s="17"/>
      <c r="H926" s="17"/>
      <c r="I926" s="17"/>
      <c r="J926" s="17" t="s">
        <v>1026</v>
      </c>
      <c r="K926" s="17"/>
      <c r="L926" s="17"/>
      <c r="AC926" s="1301"/>
    </row>
    <row r="927">
      <c r="B927" s="17"/>
      <c r="C927" s="17"/>
      <c r="D927" s="17"/>
      <c r="E927" s="343"/>
      <c r="F927" s="17"/>
      <c r="G927" s="17"/>
      <c r="H927" s="17"/>
      <c r="I927" s="17"/>
      <c r="J927" s="17" t="s">
        <v>1026</v>
      </c>
      <c r="K927" s="17"/>
      <c r="L927" s="17"/>
      <c r="AC927" s="1301"/>
    </row>
    <row r="928">
      <c r="B928" s="17"/>
      <c r="C928" s="17"/>
      <c r="D928" s="17"/>
      <c r="E928" s="343"/>
      <c r="F928" s="17"/>
      <c r="G928" s="17"/>
      <c r="H928" s="17"/>
      <c r="I928" s="17"/>
      <c r="J928" s="17" t="s">
        <v>1026</v>
      </c>
      <c r="K928" s="17"/>
      <c r="L928" s="17"/>
      <c r="AC928" s="1301"/>
    </row>
    <row r="929">
      <c r="B929" s="17"/>
      <c r="C929" s="17"/>
      <c r="D929" s="17"/>
      <c r="E929" s="343"/>
      <c r="F929" s="17"/>
      <c r="G929" s="17"/>
      <c r="H929" s="17"/>
      <c r="I929" s="17"/>
      <c r="J929" s="17" t="s">
        <v>1026</v>
      </c>
      <c r="K929" s="17"/>
      <c r="L929" s="17"/>
      <c r="AC929" s="1301"/>
    </row>
    <row r="930">
      <c r="B930" s="17"/>
      <c r="C930" s="17"/>
      <c r="D930" s="17"/>
      <c r="E930" s="343"/>
      <c r="F930" s="17"/>
      <c r="G930" s="17"/>
      <c r="H930" s="17"/>
      <c r="I930" s="17"/>
      <c r="J930" s="17" t="s">
        <v>1026</v>
      </c>
      <c r="K930" s="17"/>
      <c r="L930" s="17"/>
      <c r="AC930" s="1301"/>
    </row>
    <row r="931">
      <c r="B931" s="17"/>
      <c r="C931" s="17"/>
      <c r="D931" s="17"/>
      <c r="E931" s="343"/>
      <c r="F931" s="17"/>
      <c r="G931" s="17"/>
      <c r="H931" s="17"/>
      <c r="I931" s="17"/>
      <c r="J931" s="17" t="s">
        <v>1026</v>
      </c>
      <c r="K931" s="17"/>
      <c r="L931" s="17"/>
      <c r="AC931" s="1301"/>
    </row>
    <row r="932">
      <c r="B932" s="17"/>
      <c r="C932" s="17"/>
      <c r="D932" s="17"/>
      <c r="E932" s="343"/>
      <c r="F932" s="17"/>
      <c r="G932" s="17"/>
      <c r="H932" s="17"/>
      <c r="I932" s="17"/>
      <c r="J932" s="17" t="s">
        <v>1026</v>
      </c>
      <c r="K932" s="17"/>
      <c r="L932" s="17"/>
      <c r="AC932" s="1301"/>
    </row>
    <row r="933">
      <c r="B933" s="17"/>
      <c r="C933" s="17"/>
      <c r="D933" s="17"/>
      <c r="E933" s="343"/>
      <c r="F933" s="17"/>
      <c r="G933" s="17"/>
      <c r="H933" s="17"/>
      <c r="I933" s="17"/>
      <c r="J933" s="17" t="s">
        <v>1026</v>
      </c>
      <c r="K933" s="17"/>
      <c r="L933" s="17"/>
      <c r="AC933" s="1301"/>
    </row>
    <row r="934">
      <c r="B934" s="17"/>
      <c r="C934" s="17"/>
      <c r="D934" s="17"/>
      <c r="E934" s="343"/>
      <c r="F934" s="17"/>
      <c r="G934" s="17"/>
      <c r="H934" s="17"/>
      <c r="I934" s="17"/>
      <c r="J934" s="17" t="s">
        <v>1026</v>
      </c>
      <c r="K934" s="17"/>
      <c r="L934" s="17"/>
      <c r="AC934" s="1301"/>
    </row>
    <row r="935">
      <c r="B935" s="17"/>
      <c r="C935" s="17"/>
      <c r="D935" s="17"/>
      <c r="E935" s="343"/>
      <c r="F935" s="17"/>
      <c r="G935" s="17"/>
      <c r="H935" s="17"/>
      <c r="I935" s="17"/>
      <c r="J935" s="17" t="s">
        <v>1026</v>
      </c>
      <c r="K935" s="17"/>
      <c r="L935" s="17"/>
      <c r="AC935" s="1301"/>
    </row>
    <row r="936">
      <c r="B936" s="17"/>
      <c r="C936" s="17"/>
      <c r="D936" s="17"/>
      <c r="E936" s="343"/>
      <c r="F936" s="17"/>
      <c r="G936" s="17"/>
      <c r="H936" s="17"/>
      <c r="I936" s="17"/>
      <c r="J936" s="17" t="s">
        <v>1026</v>
      </c>
      <c r="K936" s="17"/>
      <c r="L936" s="17"/>
      <c r="AC936" s="1301"/>
    </row>
    <row r="937">
      <c r="B937" s="17"/>
      <c r="C937" s="17"/>
      <c r="D937" s="17"/>
      <c r="E937" s="343"/>
      <c r="F937" s="17"/>
      <c r="G937" s="17"/>
      <c r="H937" s="17"/>
      <c r="I937" s="17"/>
      <c r="J937" s="17" t="s">
        <v>1026</v>
      </c>
      <c r="K937" s="17"/>
      <c r="L937" s="17"/>
      <c r="AC937" s="1301"/>
    </row>
    <row r="938">
      <c r="B938" s="17"/>
      <c r="C938" s="17"/>
      <c r="D938" s="17"/>
      <c r="E938" s="343"/>
      <c r="F938" s="17"/>
      <c r="G938" s="17"/>
      <c r="H938" s="17"/>
      <c r="I938" s="17"/>
      <c r="J938" s="17" t="s">
        <v>1026</v>
      </c>
      <c r="K938" s="17"/>
      <c r="L938" s="17"/>
      <c r="AC938" s="1301"/>
    </row>
    <row r="939">
      <c r="B939" s="17"/>
      <c r="C939" s="17"/>
      <c r="D939" s="17"/>
      <c r="E939" s="343"/>
      <c r="F939" s="17"/>
      <c r="G939" s="17"/>
      <c r="H939" s="17"/>
      <c r="I939" s="17"/>
      <c r="J939" s="17" t="s">
        <v>1026</v>
      </c>
      <c r="K939" s="17"/>
      <c r="L939" s="17"/>
      <c r="AC939" s="1301"/>
    </row>
    <row r="940">
      <c r="B940" s="17"/>
      <c r="C940" s="17"/>
      <c r="D940" s="17"/>
      <c r="E940" s="343"/>
      <c r="F940" s="17"/>
      <c r="G940" s="17"/>
      <c r="H940" s="17"/>
      <c r="I940" s="17"/>
      <c r="J940" s="17" t="s">
        <v>1026</v>
      </c>
      <c r="K940" s="17"/>
      <c r="L940" s="17"/>
      <c r="AC940" s="1301"/>
    </row>
    <row r="941">
      <c r="B941" s="17"/>
      <c r="C941" s="17"/>
      <c r="D941" s="17"/>
      <c r="E941" s="343"/>
      <c r="F941" s="17"/>
      <c r="G941" s="17"/>
      <c r="H941" s="17"/>
      <c r="I941" s="17"/>
      <c r="J941" s="17" t="s">
        <v>1026</v>
      </c>
      <c r="K941" s="17"/>
      <c r="L941" s="17"/>
      <c r="AC941" s="1301"/>
    </row>
    <row r="942">
      <c r="B942" s="17"/>
      <c r="C942" s="17"/>
      <c r="D942" s="17"/>
      <c r="E942" s="343"/>
      <c r="F942" s="17"/>
      <c r="G942" s="17"/>
      <c r="H942" s="17"/>
      <c r="I942" s="17"/>
      <c r="J942" s="17" t="s">
        <v>1026</v>
      </c>
      <c r="K942" s="17"/>
      <c r="L942" s="17"/>
      <c r="AC942" s="1301"/>
    </row>
    <row r="943">
      <c r="B943" s="17"/>
      <c r="C943" s="17"/>
      <c r="D943" s="17"/>
      <c r="E943" s="343"/>
      <c r="F943" s="17"/>
      <c r="G943" s="17"/>
      <c r="H943" s="17"/>
      <c r="I943" s="17"/>
      <c r="J943" s="17" t="s">
        <v>1026</v>
      </c>
      <c r="K943" s="17"/>
      <c r="L943" s="17"/>
      <c r="AC943" s="1301"/>
    </row>
    <row r="944">
      <c r="B944" s="17"/>
      <c r="C944" s="17"/>
      <c r="D944" s="17"/>
      <c r="E944" s="343"/>
      <c r="F944" s="17"/>
      <c r="G944" s="17"/>
      <c r="H944" s="17"/>
      <c r="I944" s="17"/>
      <c r="J944" s="17" t="s">
        <v>1026</v>
      </c>
      <c r="K944" s="17"/>
      <c r="L944" s="17"/>
      <c r="AC944" s="1301"/>
    </row>
    <row r="945">
      <c r="B945" s="17"/>
      <c r="C945" s="17"/>
      <c r="D945" s="17"/>
      <c r="E945" s="343"/>
      <c r="F945" s="17"/>
      <c r="G945" s="17"/>
      <c r="H945" s="17"/>
      <c r="I945" s="17"/>
      <c r="J945" s="17" t="s">
        <v>1026</v>
      </c>
      <c r="K945" s="17"/>
      <c r="L945" s="17"/>
      <c r="AC945" s="1301"/>
    </row>
    <row r="946">
      <c r="B946" s="17"/>
      <c r="C946" s="17"/>
      <c r="D946" s="17"/>
      <c r="E946" s="343"/>
      <c r="F946" s="17"/>
      <c r="G946" s="17"/>
      <c r="H946" s="17"/>
      <c r="I946" s="17"/>
      <c r="J946" s="17" t="s">
        <v>1026</v>
      </c>
      <c r="K946" s="17"/>
      <c r="L946" s="17"/>
      <c r="AC946" s="1301"/>
    </row>
    <row r="947">
      <c r="B947" s="17"/>
      <c r="C947" s="17"/>
      <c r="D947" s="17"/>
      <c r="E947" s="343"/>
      <c r="F947" s="17"/>
      <c r="G947" s="17"/>
      <c r="H947" s="17"/>
      <c r="I947" s="17"/>
      <c r="J947" s="17" t="s">
        <v>1026</v>
      </c>
      <c r="K947" s="17"/>
      <c r="L947" s="17"/>
      <c r="AC947" s="1301"/>
    </row>
    <row r="948">
      <c r="B948" s="17"/>
      <c r="C948" s="17"/>
      <c r="D948" s="17"/>
      <c r="E948" s="343"/>
      <c r="F948" s="17"/>
      <c r="G948" s="17"/>
      <c r="H948" s="17"/>
      <c r="I948" s="17"/>
      <c r="J948" s="17" t="s">
        <v>1026</v>
      </c>
      <c r="K948" s="17"/>
      <c r="L948" s="17"/>
      <c r="AC948" s="1301"/>
    </row>
    <row r="949">
      <c r="B949" s="17"/>
      <c r="C949" s="17"/>
      <c r="D949" s="17"/>
      <c r="E949" s="343"/>
      <c r="F949" s="17"/>
      <c r="G949" s="17"/>
      <c r="H949" s="17"/>
      <c r="I949" s="17"/>
      <c r="J949" s="17" t="s">
        <v>1026</v>
      </c>
      <c r="K949" s="17"/>
      <c r="L949" s="17"/>
      <c r="AC949" s="1301"/>
    </row>
    <row r="950">
      <c r="B950" s="17"/>
      <c r="C950" s="17"/>
      <c r="D950" s="17"/>
      <c r="E950" s="343"/>
      <c r="F950" s="17"/>
      <c r="G950" s="17"/>
      <c r="H950" s="17"/>
      <c r="I950" s="17"/>
      <c r="J950" s="17" t="s">
        <v>1026</v>
      </c>
      <c r="K950" s="17"/>
      <c r="L950" s="17"/>
      <c r="AC950" s="1301"/>
    </row>
    <row r="951">
      <c r="B951" s="17"/>
      <c r="C951" s="17"/>
      <c r="D951" s="17"/>
      <c r="E951" s="343"/>
      <c r="F951" s="17"/>
      <c r="G951" s="17"/>
      <c r="H951" s="17"/>
      <c r="I951" s="17"/>
      <c r="J951" s="17" t="s">
        <v>1026</v>
      </c>
      <c r="K951" s="17"/>
      <c r="L951" s="17"/>
      <c r="AC951" s="1301"/>
    </row>
    <row r="952">
      <c r="B952" s="17"/>
      <c r="C952" s="17"/>
      <c r="D952" s="17"/>
      <c r="E952" s="343"/>
      <c r="F952" s="17"/>
      <c r="G952" s="17"/>
      <c r="H952" s="17"/>
      <c r="I952" s="17"/>
      <c r="J952" s="17" t="s">
        <v>1026</v>
      </c>
      <c r="K952" s="17"/>
      <c r="L952" s="17"/>
      <c r="AC952" s="1301"/>
    </row>
    <row r="953">
      <c r="B953" s="17"/>
      <c r="C953" s="17"/>
      <c r="D953" s="17"/>
      <c r="E953" s="343"/>
      <c r="F953" s="17"/>
      <c r="G953" s="17"/>
      <c r="H953" s="17"/>
      <c r="I953" s="17"/>
      <c r="J953" s="17" t="s">
        <v>1026</v>
      </c>
      <c r="K953" s="17"/>
      <c r="L953" s="17"/>
      <c r="AC953" s="1301"/>
    </row>
    <row r="954">
      <c r="B954" s="17"/>
      <c r="C954" s="17"/>
      <c r="D954" s="17"/>
      <c r="E954" s="343"/>
      <c r="F954" s="17"/>
      <c r="G954" s="17"/>
      <c r="H954" s="17"/>
      <c r="I954" s="17"/>
      <c r="J954" s="17" t="s">
        <v>1026</v>
      </c>
      <c r="K954" s="17"/>
      <c r="L954" s="17"/>
      <c r="AC954" s="1301"/>
    </row>
    <row r="955">
      <c r="B955" s="17"/>
      <c r="C955" s="17"/>
      <c r="D955" s="17"/>
      <c r="E955" s="343"/>
      <c r="F955" s="17"/>
      <c r="G955" s="17"/>
      <c r="H955" s="17"/>
      <c r="I955" s="17"/>
      <c r="J955" s="17" t="s">
        <v>1026</v>
      </c>
      <c r="K955" s="17"/>
      <c r="L955" s="17"/>
      <c r="AC955" s="1301"/>
    </row>
    <row r="956">
      <c r="B956" s="17"/>
      <c r="C956" s="17"/>
      <c r="D956" s="17"/>
      <c r="E956" s="343"/>
      <c r="F956" s="17"/>
      <c r="G956" s="17"/>
      <c r="H956" s="17"/>
      <c r="I956" s="17"/>
      <c r="J956" s="17" t="s">
        <v>1026</v>
      </c>
      <c r="K956" s="17"/>
      <c r="L956" s="17"/>
      <c r="AC956" s="1301"/>
    </row>
    <row r="957">
      <c r="B957" s="17"/>
      <c r="C957" s="17"/>
      <c r="D957" s="17"/>
      <c r="E957" s="343"/>
      <c r="F957" s="17"/>
      <c r="G957" s="17"/>
      <c r="H957" s="17"/>
      <c r="I957" s="17"/>
      <c r="J957" s="17" t="s">
        <v>1026</v>
      </c>
      <c r="K957" s="17"/>
      <c r="L957" s="17"/>
      <c r="AC957" s="1301"/>
    </row>
    <row r="958">
      <c r="B958" s="17"/>
      <c r="C958" s="17"/>
      <c r="D958" s="17"/>
      <c r="E958" s="343"/>
      <c r="F958" s="17"/>
      <c r="G958" s="17"/>
      <c r="H958" s="17"/>
      <c r="I958" s="17"/>
      <c r="J958" s="17" t="s">
        <v>1026</v>
      </c>
      <c r="K958" s="17"/>
      <c r="L958" s="17"/>
      <c r="AC958" s="1301"/>
    </row>
    <row r="959">
      <c r="B959" s="17"/>
      <c r="C959" s="17"/>
      <c r="D959" s="17"/>
      <c r="E959" s="343"/>
      <c r="F959" s="17"/>
      <c r="G959" s="17"/>
      <c r="H959" s="17"/>
      <c r="I959" s="17"/>
      <c r="J959" s="17" t="s">
        <v>1026</v>
      </c>
      <c r="K959" s="17"/>
      <c r="L959" s="17"/>
      <c r="AC959" s="1301"/>
    </row>
    <row r="960">
      <c r="B960" s="17"/>
      <c r="C960" s="17"/>
      <c r="D960" s="17"/>
      <c r="E960" s="343"/>
      <c r="F960" s="17"/>
      <c r="G960" s="17"/>
      <c r="H960" s="17"/>
      <c r="I960" s="17"/>
      <c r="J960" s="17" t="s">
        <v>1026</v>
      </c>
      <c r="K960" s="17"/>
      <c r="L960" s="17"/>
      <c r="AC960" s="1301"/>
    </row>
    <row r="961">
      <c r="B961" s="17"/>
      <c r="C961" s="17"/>
      <c r="D961" s="17"/>
      <c r="E961" s="343"/>
      <c r="F961" s="17"/>
      <c r="G961" s="17"/>
      <c r="H961" s="17"/>
      <c r="I961" s="17"/>
      <c r="J961" s="17" t="s">
        <v>1026</v>
      </c>
      <c r="K961" s="17"/>
      <c r="L961" s="17"/>
      <c r="AC961" s="1301"/>
    </row>
    <row r="962">
      <c r="B962" s="17"/>
      <c r="C962" s="17"/>
      <c r="D962" s="17"/>
      <c r="E962" s="343"/>
      <c r="F962" s="17"/>
      <c r="G962" s="17"/>
      <c r="H962" s="17"/>
      <c r="I962" s="17"/>
      <c r="J962" s="17" t="s">
        <v>1026</v>
      </c>
      <c r="K962" s="17"/>
      <c r="L962" s="17"/>
      <c r="AC962" s="1301"/>
    </row>
    <row r="963">
      <c r="B963" s="17"/>
      <c r="C963" s="17"/>
      <c r="D963" s="17"/>
      <c r="E963" s="343"/>
      <c r="F963" s="17"/>
      <c r="G963" s="17"/>
      <c r="H963" s="17"/>
      <c r="I963" s="17"/>
      <c r="J963" s="17" t="s">
        <v>1026</v>
      </c>
      <c r="K963" s="17"/>
      <c r="L963" s="17"/>
      <c r="AC963" s="1301"/>
    </row>
    <row r="964">
      <c r="B964" s="17"/>
      <c r="C964" s="17"/>
      <c r="D964" s="17"/>
      <c r="E964" s="343"/>
      <c r="F964" s="17"/>
      <c r="G964" s="17"/>
      <c r="H964" s="17"/>
      <c r="I964" s="17"/>
      <c r="J964" s="17" t="s">
        <v>1026</v>
      </c>
      <c r="K964" s="17"/>
      <c r="L964" s="17"/>
      <c r="AC964" s="1301"/>
    </row>
    <row r="965">
      <c r="B965" s="17"/>
      <c r="C965" s="17"/>
      <c r="D965" s="17"/>
      <c r="E965" s="343"/>
      <c r="F965" s="17"/>
      <c r="G965" s="17"/>
      <c r="H965" s="17"/>
      <c r="I965" s="17"/>
      <c r="J965" s="17" t="s">
        <v>1026</v>
      </c>
      <c r="K965" s="17"/>
      <c r="L965" s="17"/>
      <c r="AC965" s="1301"/>
    </row>
    <row r="966">
      <c r="B966" s="17"/>
      <c r="C966" s="17"/>
      <c r="D966" s="17"/>
      <c r="E966" s="343"/>
      <c r="F966" s="17"/>
      <c r="G966" s="17"/>
      <c r="H966" s="17"/>
      <c r="I966" s="17"/>
      <c r="J966" s="17" t="s">
        <v>1026</v>
      </c>
      <c r="K966" s="17"/>
      <c r="L966" s="17"/>
      <c r="AC966" s="1301"/>
    </row>
    <row r="967">
      <c r="B967" s="17"/>
      <c r="C967" s="17"/>
      <c r="D967" s="17"/>
      <c r="E967" s="343"/>
      <c r="F967" s="17"/>
      <c r="G967" s="17"/>
      <c r="H967" s="17"/>
      <c r="I967" s="17"/>
      <c r="J967" s="17" t="s">
        <v>1026</v>
      </c>
      <c r="K967" s="17"/>
      <c r="L967" s="17"/>
      <c r="AC967" s="1301"/>
    </row>
    <row r="968">
      <c r="B968" s="17"/>
      <c r="C968" s="17"/>
      <c r="D968" s="17"/>
      <c r="E968" s="343"/>
      <c r="F968" s="17"/>
      <c r="G968" s="17"/>
      <c r="H968" s="17"/>
      <c r="I968" s="17"/>
      <c r="J968" s="17" t="s">
        <v>1026</v>
      </c>
      <c r="K968" s="17"/>
      <c r="L968" s="17"/>
      <c r="AC968" s="1301"/>
    </row>
    <row r="969">
      <c r="B969" s="17"/>
      <c r="C969" s="17"/>
      <c r="D969" s="17"/>
      <c r="E969" s="343"/>
      <c r="F969" s="17"/>
      <c r="G969" s="17"/>
      <c r="H969" s="17"/>
      <c r="I969" s="17"/>
      <c r="J969" s="17" t="s">
        <v>1026</v>
      </c>
      <c r="K969" s="17"/>
      <c r="L969" s="17"/>
      <c r="AC969" s="1301"/>
    </row>
    <row r="970">
      <c r="B970" s="17"/>
      <c r="C970" s="17"/>
      <c r="D970" s="17"/>
      <c r="E970" s="343"/>
      <c r="F970" s="17"/>
      <c r="G970" s="17"/>
      <c r="H970" s="17"/>
      <c r="I970" s="17"/>
      <c r="J970" s="17" t="s">
        <v>1026</v>
      </c>
      <c r="K970" s="17"/>
      <c r="L970" s="17"/>
      <c r="AC970" s="1301"/>
    </row>
    <row r="971">
      <c r="B971" s="17"/>
      <c r="C971" s="17"/>
      <c r="D971" s="17"/>
      <c r="E971" s="343"/>
      <c r="F971" s="17"/>
      <c r="G971" s="17"/>
      <c r="H971" s="17"/>
      <c r="I971" s="17"/>
      <c r="J971" s="17" t="s">
        <v>1026</v>
      </c>
      <c r="K971" s="17"/>
      <c r="L971" s="17"/>
      <c r="AC971" s="1301"/>
    </row>
    <row r="972">
      <c r="B972" s="17"/>
      <c r="C972" s="17"/>
      <c r="D972" s="17"/>
      <c r="E972" s="343"/>
      <c r="F972" s="17"/>
      <c r="G972" s="17"/>
      <c r="H972" s="17"/>
      <c r="I972" s="17"/>
      <c r="J972" s="17" t="s">
        <v>1026</v>
      </c>
      <c r="K972" s="17"/>
      <c r="L972" s="17"/>
      <c r="AC972" s="1301"/>
    </row>
    <row r="973">
      <c r="B973" s="17"/>
      <c r="C973" s="17"/>
      <c r="D973" s="17"/>
      <c r="E973" s="343"/>
      <c r="F973" s="17"/>
      <c r="G973" s="17"/>
      <c r="H973" s="17"/>
      <c r="I973" s="17"/>
      <c r="J973" s="17" t="s">
        <v>1026</v>
      </c>
      <c r="K973" s="17"/>
      <c r="L973" s="17"/>
      <c r="AC973" s="1301"/>
    </row>
    <row r="974">
      <c r="B974" s="17"/>
      <c r="C974" s="17"/>
      <c r="D974" s="17"/>
      <c r="E974" s="343"/>
      <c r="F974" s="17"/>
      <c r="G974" s="17"/>
      <c r="H974" s="17"/>
      <c r="I974" s="17"/>
      <c r="J974" s="17" t="s">
        <v>1026</v>
      </c>
      <c r="K974" s="17"/>
      <c r="L974" s="17"/>
      <c r="AC974" s="1301"/>
    </row>
    <row r="975">
      <c r="B975" s="17"/>
      <c r="C975" s="17"/>
      <c r="D975" s="17"/>
      <c r="E975" s="343"/>
      <c r="F975" s="17"/>
      <c r="G975" s="17"/>
      <c r="H975" s="17"/>
      <c r="I975" s="17"/>
      <c r="J975" s="17" t="s">
        <v>1026</v>
      </c>
      <c r="K975" s="17"/>
      <c r="L975" s="17"/>
      <c r="AC975" s="1301"/>
    </row>
    <row r="976">
      <c r="B976" s="17"/>
      <c r="C976" s="17"/>
      <c r="D976" s="17"/>
      <c r="E976" s="343"/>
      <c r="F976" s="17"/>
      <c r="G976" s="17"/>
      <c r="H976" s="17"/>
      <c r="I976" s="17"/>
      <c r="J976" s="17" t="s">
        <v>1026</v>
      </c>
      <c r="K976" s="17"/>
      <c r="L976" s="17"/>
      <c r="AC976" s="1301"/>
    </row>
    <row r="977">
      <c r="B977" s="17"/>
      <c r="C977" s="17"/>
      <c r="D977" s="17"/>
      <c r="E977" s="343"/>
      <c r="F977" s="17"/>
      <c r="G977" s="17"/>
      <c r="H977" s="17"/>
      <c r="I977" s="17"/>
      <c r="J977" s="17" t="s">
        <v>1026</v>
      </c>
      <c r="K977" s="17"/>
      <c r="L977" s="17"/>
      <c r="AC977" s="1301"/>
    </row>
    <row r="978">
      <c r="B978" s="17"/>
      <c r="C978" s="17"/>
      <c r="D978" s="17"/>
      <c r="E978" s="343"/>
      <c r="F978" s="17"/>
      <c r="G978" s="17"/>
      <c r="H978" s="17"/>
      <c r="I978" s="17"/>
      <c r="J978" s="17" t="s">
        <v>1026</v>
      </c>
      <c r="K978" s="17"/>
      <c r="L978" s="17"/>
      <c r="AC978" s="1301"/>
    </row>
    <row r="979">
      <c r="B979" s="17"/>
      <c r="C979" s="17"/>
      <c r="D979" s="17"/>
      <c r="E979" s="343"/>
      <c r="F979" s="17"/>
      <c r="G979" s="17"/>
      <c r="H979" s="17"/>
      <c r="I979" s="17"/>
      <c r="J979" s="17" t="s">
        <v>1026</v>
      </c>
      <c r="K979" s="17"/>
      <c r="L979" s="17"/>
      <c r="AC979" s="1301"/>
    </row>
    <row r="980">
      <c r="B980" s="17"/>
      <c r="C980" s="17"/>
      <c r="D980" s="17"/>
      <c r="E980" s="343"/>
      <c r="F980" s="17"/>
      <c r="G980" s="17"/>
      <c r="H980" s="17"/>
      <c r="I980" s="17"/>
      <c r="J980" s="17" t="s">
        <v>1026</v>
      </c>
      <c r="K980" s="17"/>
      <c r="L980" s="17"/>
      <c r="AC980" s="1301"/>
    </row>
    <row r="981">
      <c r="B981" s="17"/>
      <c r="C981" s="17"/>
      <c r="D981" s="17"/>
      <c r="E981" s="343"/>
      <c r="F981" s="17"/>
      <c r="G981" s="17"/>
      <c r="H981" s="17"/>
      <c r="I981" s="17"/>
      <c r="J981" s="17" t="s">
        <v>1026</v>
      </c>
      <c r="K981" s="17"/>
      <c r="L981" s="17"/>
      <c r="AC981" s="1301"/>
    </row>
    <row r="982">
      <c r="B982" s="17"/>
      <c r="C982" s="17"/>
      <c r="D982" s="17"/>
      <c r="E982" s="343"/>
      <c r="F982" s="17"/>
      <c r="G982" s="17"/>
      <c r="H982" s="17"/>
      <c r="I982" s="17"/>
      <c r="J982" s="17" t="s">
        <v>1026</v>
      </c>
      <c r="K982" s="17"/>
      <c r="L982" s="17"/>
      <c r="AC982" s="1301"/>
    </row>
    <row r="983">
      <c r="B983" s="17"/>
      <c r="C983" s="17"/>
      <c r="D983" s="17"/>
      <c r="E983" s="343"/>
      <c r="F983" s="17"/>
      <c r="G983" s="17"/>
      <c r="H983" s="17"/>
      <c r="I983" s="17"/>
      <c r="J983" s="17" t="s">
        <v>1026</v>
      </c>
      <c r="K983" s="17"/>
      <c r="L983" s="17"/>
      <c r="AC983" s="1301"/>
    </row>
    <row r="984">
      <c r="B984" s="17"/>
      <c r="C984" s="17"/>
      <c r="D984" s="17"/>
      <c r="E984" s="343"/>
      <c r="F984" s="17"/>
      <c r="G984" s="17"/>
      <c r="H984" s="17"/>
      <c r="I984" s="17"/>
      <c r="J984" s="17" t="s">
        <v>1026</v>
      </c>
      <c r="K984" s="17"/>
      <c r="L984" s="17"/>
      <c r="AC984" s="1301"/>
    </row>
    <row r="985">
      <c r="B985" s="17"/>
      <c r="C985" s="17"/>
      <c r="D985" s="17"/>
      <c r="E985" s="343"/>
      <c r="F985" s="17"/>
      <c r="G985" s="17"/>
      <c r="H985" s="17"/>
      <c r="I985" s="17"/>
      <c r="J985" s="17" t="s">
        <v>1026</v>
      </c>
      <c r="K985" s="17"/>
      <c r="L985" s="17"/>
      <c r="AC985" s="1301"/>
    </row>
    <row r="986">
      <c r="B986" s="17"/>
      <c r="C986" s="17"/>
      <c r="D986" s="17"/>
      <c r="E986" s="343"/>
      <c r="F986" s="17"/>
      <c r="G986" s="17"/>
      <c r="H986" s="17"/>
      <c r="I986" s="17"/>
      <c r="J986" s="17" t="s">
        <v>1026</v>
      </c>
      <c r="K986" s="17"/>
      <c r="L986" s="17"/>
      <c r="AC986" s="1301"/>
    </row>
    <row r="987">
      <c r="B987" s="17"/>
      <c r="C987" s="17"/>
      <c r="D987" s="17"/>
      <c r="E987" s="343"/>
      <c r="F987" s="17"/>
      <c r="G987" s="17"/>
      <c r="H987" s="17"/>
      <c r="I987" s="17"/>
      <c r="J987" s="17" t="s">
        <v>1026</v>
      </c>
      <c r="K987" s="17"/>
      <c r="L987" s="17"/>
      <c r="AC987" s="1301"/>
    </row>
    <row r="988">
      <c r="B988" s="17"/>
      <c r="C988" s="17"/>
      <c r="D988" s="17"/>
      <c r="E988" s="343"/>
      <c r="F988" s="17"/>
      <c r="G988" s="17"/>
      <c r="H988" s="17"/>
      <c r="I988" s="17"/>
      <c r="J988" s="17" t="s">
        <v>1026</v>
      </c>
      <c r="K988" s="17"/>
      <c r="L988" s="17"/>
      <c r="AC988" s="1301"/>
    </row>
    <row r="989">
      <c r="B989" s="17"/>
      <c r="C989" s="17"/>
      <c r="D989" s="17"/>
      <c r="E989" s="343"/>
      <c r="F989" s="17"/>
      <c r="G989" s="17"/>
      <c r="H989" s="17"/>
      <c r="I989" s="17"/>
      <c r="J989" s="17" t="s">
        <v>1026</v>
      </c>
      <c r="K989" s="17"/>
      <c r="L989" s="17"/>
      <c r="AC989" s="1301"/>
    </row>
    <row r="990">
      <c r="B990" s="17"/>
      <c r="C990" s="17"/>
      <c r="D990" s="17"/>
      <c r="E990" s="343"/>
      <c r="F990" s="17"/>
      <c r="G990" s="17"/>
      <c r="H990" s="17"/>
      <c r="I990" s="17"/>
      <c r="J990" s="17" t="s">
        <v>1026</v>
      </c>
      <c r="K990" s="17"/>
      <c r="L990" s="17"/>
      <c r="AC990" s="1301"/>
    </row>
    <row r="991">
      <c r="B991" s="17"/>
      <c r="C991" s="17"/>
      <c r="D991" s="17"/>
      <c r="E991" s="343"/>
      <c r="F991" s="17"/>
      <c r="G991" s="17"/>
      <c r="H991" s="17"/>
      <c r="I991" s="17"/>
      <c r="J991" s="17" t="s">
        <v>1026</v>
      </c>
      <c r="K991" s="17"/>
      <c r="L991" s="17"/>
      <c r="AC991" s="1301"/>
    </row>
    <row r="992">
      <c r="B992" s="17"/>
      <c r="C992" s="17"/>
      <c r="D992" s="17"/>
      <c r="E992" s="343"/>
      <c r="F992" s="17"/>
      <c r="G992" s="17"/>
      <c r="H992" s="17"/>
      <c r="I992" s="17"/>
      <c r="J992" s="17" t="s">
        <v>1026</v>
      </c>
      <c r="K992" s="17"/>
      <c r="L992" s="17"/>
      <c r="AC992" s="1301"/>
    </row>
    <row r="993">
      <c r="B993" s="17"/>
      <c r="C993" s="17"/>
      <c r="D993" s="17"/>
      <c r="E993" s="343"/>
      <c r="F993" s="17"/>
      <c r="G993" s="17"/>
      <c r="H993" s="17"/>
      <c r="I993" s="17"/>
      <c r="J993" s="17" t="s">
        <v>1026</v>
      </c>
      <c r="K993" s="17"/>
      <c r="L993" s="17"/>
      <c r="AC993" s="1301"/>
    </row>
    <row r="994">
      <c r="B994" s="17"/>
      <c r="C994" s="17"/>
      <c r="D994" s="17"/>
      <c r="E994" s="343"/>
      <c r="F994" s="17"/>
      <c r="G994" s="17"/>
      <c r="H994" s="17"/>
      <c r="I994" s="17"/>
      <c r="J994" s="17" t="s">
        <v>1026</v>
      </c>
      <c r="K994" s="17"/>
      <c r="L994" s="17"/>
      <c r="AC994" s="1301"/>
    </row>
    <row r="995">
      <c r="B995" s="17"/>
      <c r="C995" s="17"/>
      <c r="D995" s="17"/>
      <c r="E995" s="343"/>
      <c r="F995" s="17"/>
      <c r="G995" s="17"/>
      <c r="H995" s="17"/>
      <c r="I995" s="17"/>
      <c r="J995" s="17" t="s">
        <v>1026</v>
      </c>
      <c r="K995" s="17"/>
      <c r="L995" s="17"/>
      <c r="AC995" s="1301"/>
    </row>
    <row r="996">
      <c r="B996" s="17"/>
      <c r="C996" s="17"/>
      <c r="D996" s="17"/>
      <c r="E996" s="343"/>
      <c r="F996" s="17"/>
      <c r="G996" s="17"/>
      <c r="H996" s="17"/>
      <c r="I996" s="17"/>
      <c r="J996" s="17" t="s">
        <v>1026</v>
      </c>
      <c r="K996" s="17"/>
      <c r="L996" s="17"/>
      <c r="AC996" s="1301"/>
    </row>
    <row r="997">
      <c r="B997" s="17"/>
      <c r="C997" s="17"/>
      <c r="D997" s="17"/>
      <c r="E997" s="343"/>
      <c r="F997" s="17"/>
      <c r="G997" s="17"/>
      <c r="H997" s="17"/>
      <c r="I997" s="17"/>
      <c r="J997" s="17" t="s">
        <v>1026</v>
      </c>
      <c r="K997" s="17"/>
      <c r="L997" s="17"/>
      <c r="AC997" s="1301"/>
    </row>
    <row r="998">
      <c r="B998" s="17"/>
      <c r="C998" s="17"/>
      <c r="D998" s="17"/>
      <c r="E998" s="343"/>
      <c r="F998" s="17"/>
      <c r="G998" s="17"/>
      <c r="H998" s="17"/>
      <c r="I998" s="17"/>
      <c r="J998" s="17" t="s">
        <v>1026</v>
      </c>
      <c r="K998" s="17"/>
      <c r="L998" s="17"/>
      <c r="AC998" s="1301"/>
    </row>
    <row r="999">
      <c r="B999" s="17"/>
      <c r="C999" s="17"/>
      <c r="D999" s="17"/>
      <c r="E999" s="343"/>
      <c r="F999" s="17"/>
      <c r="G999" s="17"/>
      <c r="H999" s="17"/>
      <c r="I999" s="17"/>
      <c r="J999" s="17" t="s">
        <v>1026</v>
      </c>
      <c r="K999" s="17"/>
      <c r="L999" s="17"/>
      <c r="AC999" s="1301"/>
    </row>
    <row r="1000">
      <c r="B1000" s="17"/>
      <c r="C1000" s="17"/>
      <c r="D1000" s="17"/>
      <c r="E1000" s="343"/>
      <c r="F1000" s="17"/>
      <c r="G1000" s="17"/>
      <c r="H1000" s="17"/>
      <c r="I1000" s="17"/>
      <c r="J1000" s="17" t="s">
        <v>1026</v>
      </c>
      <c r="K1000" s="17"/>
      <c r="L1000" s="17"/>
      <c r="AC1000" s="1301"/>
    </row>
    <row r="1001">
      <c r="B1001" s="17"/>
      <c r="C1001" s="17"/>
      <c r="D1001" s="17"/>
      <c r="E1001" s="343"/>
      <c r="F1001" s="17"/>
      <c r="G1001" s="17"/>
      <c r="H1001" s="17"/>
      <c r="I1001" s="17"/>
      <c r="J1001" s="17" t="s">
        <v>1026</v>
      </c>
      <c r="K1001" s="17"/>
      <c r="L1001" s="17"/>
      <c r="AC1001" s="1301"/>
    </row>
    <row r="1002">
      <c r="B1002" s="17"/>
      <c r="C1002" s="17"/>
      <c r="D1002" s="17"/>
      <c r="E1002" s="343"/>
      <c r="F1002" s="17"/>
      <c r="G1002" s="17"/>
      <c r="H1002" s="17"/>
      <c r="I1002" s="17"/>
      <c r="J1002" s="17" t="s">
        <v>1026</v>
      </c>
      <c r="K1002" s="17"/>
      <c r="L1002" s="17"/>
      <c r="AC1002" s="1301"/>
    </row>
    <row r="1003">
      <c r="B1003" s="17"/>
      <c r="C1003" s="17"/>
      <c r="D1003" s="17"/>
      <c r="E1003" s="343"/>
      <c r="F1003" s="17"/>
      <c r="G1003" s="17"/>
      <c r="H1003" s="17"/>
      <c r="I1003" s="17"/>
      <c r="J1003" s="17" t="s">
        <v>1026</v>
      </c>
      <c r="K1003" s="17"/>
      <c r="L1003" s="17"/>
      <c r="AC1003" s="1301"/>
    </row>
    <row r="1004">
      <c r="B1004" s="17"/>
      <c r="C1004" s="17"/>
      <c r="D1004" s="17"/>
      <c r="E1004" s="343"/>
      <c r="F1004" s="17"/>
      <c r="G1004" s="17"/>
      <c r="H1004" s="17"/>
      <c r="I1004" s="17"/>
      <c r="J1004" s="17" t="s">
        <v>1026</v>
      </c>
      <c r="K1004" s="17"/>
      <c r="L1004" s="17"/>
      <c r="AC1004" s="1301"/>
    </row>
    <row r="1005">
      <c r="B1005" s="17"/>
      <c r="C1005" s="17"/>
      <c r="D1005" s="17"/>
      <c r="E1005" s="343"/>
      <c r="F1005" s="17"/>
      <c r="G1005" s="17"/>
      <c r="H1005" s="17"/>
      <c r="I1005" s="17"/>
      <c r="J1005" s="17" t="s">
        <v>1026</v>
      </c>
      <c r="K1005" s="17"/>
      <c r="L1005" s="17"/>
      <c r="AC1005" s="1301"/>
    </row>
    <row r="1006">
      <c r="B1006" s="17"/>
      <c r="C1006" s="17"/>
      <c r="D1006" s="17"/>
      <c r="E1006" s="343"/>
      <c r="F1006" s="17"/>
      <c r="G1006" s="17"/>
      <c r="H1006" s="17"/>
      <c r="I1006" s="17"/>
      <c r="J1006" s="17" t="s">
        <v>1026</v>
      </c>
      <c r="K1006" s="17"/>
      <c r="L1006" s="17"/>
      <c r="AC1006" s="1301"/>
    </row>
    <row r="1007">
      <c r="B1007" s="17"/>
      <c r="C1007" s="17"/>
      <c r="D1007" s="17"/>
      <c r="E1007" s="343"/>
      <c r="F1007" s="17"/>
      <c r="G1007" s="17"/>
      <c r="H1007" s="17"/>
      <c r="I1007" s="17"/>
      <c r="J1007" s="17" t="s">
        <v>1026</v>
      </c>
      <c r="K1007" s="17"/>
      <c r="L1007" s="17"/>
      <c r="AC1007" s="1301"/>
    </row>
    <row r="1008">
      <c r="B1008" s="17"/>
      <c r="C1008" s="17"/>
      <c r="D1008" s="17"/>
      <c r="E1008" s="343"/>
      <c r="F1008" s="17"/>
      <c r="G1008" s="17"/>
      <c r="H1008" s="17"/>
      <c r="I1008" s="17"/>
      <c r="J1008" s="17" t="s">
        <v>1026</v>
      </c>
      <c r="K1008" s="17"/>
      <c r="L1008" s="17"/>
      <c r="AC1008" s="1301"/>
    </row>
    <row r="1009">
      <c r="B1009" s="17"/>
      <c r="C1009" s="17"/>
      <c r="D1009" s="17"/>
      <c r="E1009" s="343"/>
      <c r="F1009" s="17"/>
      <c r="G1009" s="17"/>
      <c r="H1009" s="17"/>
      <c r="I1009" s="17"/>
      <c r="J1009" s="17" t="s">
        <v>1026</v>
      </c>
      <c r="K1009" s="17"/>
      <c r="L1009" s="17"/>
      <c r="AC1009" s="1301"/>
    </row>
    <row r="1010">
      <c r="B1010" s="17"/>
      <c r="C1010" s="17"/>
      <c r="D1010" s="17"/>
      <c r="E1010" s="343"/>
      <c r="F1010" s="17"/>
      <c r="G1010" s="17"/>
      <c r="H1010" s="17"/>
      <c r="I1010" s="17"/>
      <c r="J1010" s="17" t="s">
        <v>1026</v>
      </c>
      <c r="K1010" s="17"/>
      <c r="L1010" s="17"/>
      <c r="AC1010" s="1301"/>
    </row>
    <row r="1011">
      <c r="B1011" s="17"/>
      <c r="C1011" s="17"/>
      <c r="D1011" s="17"/>
      <c r="E1011" s="343"/>
      <c r="F1011" s="17"/>
      <c r="G1011" s="17"/>
      <c r="H1011" s="17"/>
      <c r="I1011" s="17"/>
      <c r="J1011" s="17" t="s">
        <v>1026</v>
      </c>
      <c r="K1011" s="17"/>
      <c r="L1011" s="17"/>
      <c r="AC1011" s="1301"/>
    </row>
    <row r="1012">
      <c r="B1012" s="17"/>
      <c r="C1012" s="17"/>
      <c r="D1012" s="17"/>
      <c r="E1012" s="343"/>
      <c r="F1012" s="17"/>
      <c r="G1012" s="17"/>
      <c r="H1012" s="17"/>
      <c r="I1012" s="17"/>
      <c r="J1012" s="17" t="s">
        <v>1026</v>
      </c>
      <c r="K1012" s="17"/>
      <c r="L1012" s="17"/>
      <c r="AC1012" s="1301"/>
    </row>
    <row r="1013">
      <c r="B1013" s="17"/>
      <c r="C1013" s="17"/>
      <c r="D1013" s="17"/>
      <c r="E1013" s="343"/>
      <c r="F1013" s="17"/>
      <c r="G1013" s="17"/>
      <c r="H1013" s="17"/>
      <c r="I1013" s="17"/>
      <c r="J1013" s="17" t="s">
        <v>1026</v>
      </c>
      <c r="K1013" s="17"/>
      <c r="L1013" s="17"/>
      <c r="AC1013" s="1301"/>
    </row>
    <row r="1014">
      <c r="B1014" s="17"/>
      <c r="C1014" s="17"/>
      <c r="D1014" s="17"/>
      <c r="E1014" s="343"/>
      <c r="F1014" s="17"/>
      <c r="G1014" s="17"/>
      <c r="H1014" s="17"/>
      <c r="I1014" s="17"/>
      <c r="J1014" s="17" t="s">
        <v>1026</v>
      </c>
      <c r="K1014" s="17"/>
      <c r="L1014" s="17"/>
      <c r="AC1014" s="1301"/>
    </row>
    <row r="1015">
      <c r="B1015" s="17"/>
      <c r="C1015" s="17"/>
      <c r="D1015" s="17"/>
      <c r="E1015" s="343"/>
      <c r="F1015" s="17"/>
      <c r="G1015" s="17"/>
      <c r="H1015" s="17"/>
      <c r="I1015" s="17"/>
      <c r="J1015" s="17" t="s">
        <v>1026</v>
      </c>
      <c r="K1015" s="17"/>
      <c r="L1015" s="17"/>
      <c r="AC1015" s="1301"/>
    </row>
    <row r="1016">
      <c r="B1016" s="17"/>
      <c r="C1016" s="17"/>
      <c r="D1016" s="17"/>
      <c r="E1016" s="343"/>
      <c r="F1016" s="17"/>
      <c r="G1016" s="17"/>
      <c r="H1016" s="17"/>
      <c r="I1016" s="17"/>
      <c r="J1016" s="17" t="s">
        <v>1026</v>
      </c>
      <c r="K1016" s="17"/>
      <c r="L1016" s="17"/>
      <c r="AC1016" s="1301"/>
    </row>
    <row r="1017">
      <c r="B1017" s="17"/>
      <c r="C1017" s="17"/>
      <c r="D1017" s="17"/>
      <c r="E1017" s="343"/>
      <c r="F1017" s="17"/>
      <c r="G1017" s="17"/>
      <c r="H1017" s="17"/>
      <c r="I1017" s="17"/>
      <c r="J1017" s="17" t="s">
        <v>1026</v>
      </c>
      <c r="K1017" s="17"/>
      <c r="L1017" s="17"/>
      <c r="AC1017" s="1301"/>
    </row>
    <row r="1018">
      <c r="B1018" s="17"/>
      <c r="C1018" s="17"/>
      <c r="D1018" s="17"/>
      <c r="E1018" s="343"/>
      <c r="F1018" s="17"/>
      <c r="G1018" s="17"/>
      <c r="H1018" s="17"/>
      <c r="I1018" s="17"/>
      <c r="J1018" s="17" t="s">
        <v>1026</v>
      </c>
      <c r="K1018" s="17"/>
      <c r="L1018" s="17"/>
      <c r="AC1018" s="1301"/>
    </row>
    <row r="1019">
      <c r="B1019" s="17"/>
      <c r="C1019" s="17"/>
      <c r="D1019" s="17"/>
      <c r="E1019" s="343"/>
      <c r="F1019" s="17"/>
      <c r="G1019" s="17"/>
      <c r="H1019" s="17"/>
      <c r="I1019" s="17"/>
      <c r="J1019" s="17" t="s">
        <v>1026</v>
      </c>
      <c r="K1019" s="17"/>
      <c r="L1019" s="17"/>
      <c r="AC1019" s="1301"/>
    </row>
    <row r="1020">
      <c r="B1020" s="17"/>
      <c r="C1020" s="17"/>
      <c r="D1020" s="17"/>
      <c r="E1020" s="343"/>
      <c r="F1020" s="17"/>
      <c r="G1020" s="17"/>
      <c r="H1020" s="17"/>
      <c r="I1020" s="17"/>
      <c r="J1020" s="17" t="s">
        <v>1026</v>
      </c>
      <c r="K1020" s="17"/>
      <c r="L1020" s="17"/>
      <c r="AC1020" s="1301"/>
    </row>
    <row r="1021">
      <c r="B1021" s="17"/>
      <c r="C1021" s="17"/>
      <c r="D1021" s="17"/>
      <c r="E1021" s="343"/>
      <c r="F1021" s="17"/>
      <c r="G1021" s="17"/>
      <c r="H1021" s="17"/>
      <c r="I1021" s="17"/>
      <c r="J1021" s="17" t="s">
        <v>1026</v>
      </c>
      <c r="K1021" s="17"/>
      <c r="L1021" s="17"/>
      <c r="AC1021" s="1301"/>
    </row>
    <row r="1022">
      <c r="B1022" s="17"/>
      <c r="C1022" s="17"/>
      <c r="D1022" s="17"/>
      <c r="E1022" s="343"/>
      <c r="F1022" s="17"/>
      <c r="G1022" s="17"/>
      <c r="H1022" s="17"/>
      <c r="I1022" s="17"/>
      <c r="J1022" s="17" t="s">
        <v>1026</v>
      </c>
      <c r="K1022" s="17"/>
      <c r="L1022" s="17"/>
      <c r="AC1022" s="1301"/>
    </row>
    <row r="1023">
      <c r="B1023" s="17"/>
      <c r="C1023" s="17"/>
      <c r="D1023" s="17"/>
      <c r="E1023" s="343"/>
      <c r="F1023" s="17"/>
      <c r="G1023" s="17"/>
      <c r="H1023" s="17"/>
      <c r="I1023" s="17"/>
      <c r="J1023" s="17" t="s">
        <v>1026</v>
      </c>
      <c r="K1023" s="17"/>
      <c r="L1023" s="17"/>
      <c r="AC1023" s="1301"/>
    </row>
    <row r="1024">
      <c r="B1024" s="17"/>
      <c r="C1024" s="17"/>
      <c r="D1024" s="17"/>
      <c r="E1024" s="343"/>
      <c r="F1024" s="17"/>
      <c r="G1024" s="17"/>
      <c r="H1024" s="17"/>
      <c r="I1024" s="17"/>
      <c r="J1024" s="17" t="s">
        <v>1026</v>
      </c>
      <c r="K1024" s="17"/>
      <c r="L1024" s="17"/>
      <c r="AC1024" s="1301"/>
    </row>
    <row r="1025">
      <c r="B1025" s="17"/>
      <c r="C1025" s="17"/>
      <c r="D1025" s="17"/>
      <c r="E1025" s="343"/>
      <c r="F1025" s="17"/>
      <c r="G1025" s="17"/>
      <c r="H1025" s="17"/>
      <c r="I1025" s="17"/>
      <c r="J1025" s="17" t="s">
        <v>1026</v>
      </c>
      <c r="K1025" s="17"/>
      <c r="L1025" s="17"/>
      <c r="AC1025" s="1301"/>
    </row>
    <row r="1026">
      <c r="B1026" s="17"/>
      <c r="C1026" s="17"/>
      <c r="D1026" s="17"/>
      <c r="E1026" s="343"/>
      <c r="F1026" s="17"/>
      <c r="G1026" s="17"/>
      <c r="H1026" s="17"/>
      <c r="I1026" s="17"/>
      <c r="J1026" s="17" t="s">
        <v>1026</v>
      </c>
      <c r="K1026" s="17"/>
      <c r="L1026" s="17"/>
      <c r="AC1026" s="1301"/>
    </row>
    <row r="1027">
      <c r="B1027" s="17"/>
      <c r="C1027" s="17"/>
      <c r="D1027" s="17"/>
      <c r="E1027" s="343"/>
      <c r="F1027" s="17"/>
      <c r="G1027" s="17"/>
      <c r="H1027" s="17"/>
      <c r="I1027" s="17"/>
      <c r="J1027" s="17" t="s">
        <v>1026</v>
      </c>
      <c r="K1027" s="17"/>
      <c r="L1027" s="17"/>
      <c r="AC1027" s="1301"/>
    </row>
    <row r="1028">
      <c r="B1028" s="17"/>
      <c r="C1028" s="17"/>
      <c r="D1028" s="17"/>
      <c r="E1028" s="343"/>
      <c r="F1028" s="17"/>
      <c r="G1028" s="17"/>
      <c r="H1028" s="17"/>
      <c r="I1028" s="17"/>
      <c r="J1028" s="17" t="s">
        <v>1026</v>
      </c>
      <c r="K1028" s="17"/>
      <c r="L1028" s="17"/>
      <c r="AC1028" s="1301"/>
    </row>
    <row r="1029">
      <c r="B1029" s="17"/>
      <c r="C1029" s="17"/>
      <c r="D1029" s="17"/>
      <c r="E1029" s="343"/>
      <c r="F1029" s="17"/>
      <c r="G1029" s="17"/>
      <c r="H1029" s="17"/>
      <c r="I1029" s="17"/>
      <c r="J1029" s="17" t="s">
        <v>1026</v>
      </c>
      <c r="K1029" s="17"/>
      <c r="L1029" s="17"/>
      <c r="AC1029" s="1301"/>
    </row>
    <row r="1030">
      <c r="B1030" s="17"/>
      <c r="C1030" s="17"/>
      <c r="D1030" s="17"/>
      <c r="E1030" s="343"/>
      <c r="F1030" s="17"/>
      <c r="G1030" s="17"/>
      <c r="H1030" s="17"/>
      <c r="I1030" s="17"/>
      <c r="J1030" s="17" t="s">
        <v>1026</v>
      </c>
      <c r="K1030" s="17"/>
      <c r="L1030" s="17"/>
      <c r="AC1030" s="1301"/>
    </row>
    <row r="1031">
      <c r="B1031" s="17"/>
      <c r="C1031" s="17"/>
      <c r="D1031" s="17"/>
      <c r="E1031" s="343"/>
      <c r="F1031" s="17"/>
      <c r="G1031" s="17"/>
      <c r="H1031" s="17"/>
      <c r="I1031" s="17"/>
      <c r="J1031" s="17" t="s">
        <v>1026</v>
      </c>
      <c r="K1031" s="17"/>
      <c r="L1031" s="17"/>
      <c r="AC1031" s="1301"/>
    </row>
    <row r="1032">
      <c r="B1032" s="17"/>
      <c r="C1032" s="17"/>
      <c r="D1032" s="17"/>
      <c r="E1032" s="343"/>
      <c r="F1032" s="17"/>
      <c r="G1032" s="17"/>
      <c r="H1032" s="17"/>
      <c r="I1032" s="17"/>
      <c r="J1032" s="17" t="s">
        <v>1026</v>
      </c>
      <c r="K1032" s="17"/>
      <c r="L1032" s="17"/>
      <c r="AC1032" s="1301"/>
    </row>
    <row r="1033">
      <c r="B1033" s="17"/>
      <c r="C1033" s="17"/>
      <c r="D1033" s="17"/>
      <c r="E1033" s="343"/>
      <c r="F1033" s="17"/>
      <c r="G1033" s="17"/>
      <c r="H1033" s="17"/>
      <c r="I1033" s="17"/>
      <c r="J1033" s="17" t="s">
        <v>1026</v>
      </c>
      <c r="K1033" s="17"/>
      <c r="L1033" s="17"/>
      <c r="AC1033" s="1301"/>
    </row>
    <row r="1034">
      <c r="B1034" s="17"/>
      <c r="C1034" s="17"/>
      <c r="D1034" s="17"/>
      <c r="E1034" s="343"/>
      <c r="F1034" s="17"/>
      <c r="G1034" s="17"/>
      <c r="H1034" s="17"/>
      <c r="I1034" s="17"/>
      <c r="J1034" s="17" t="s">
        <v>1026</v>
      </c>
      <c r="K1034" s="17"/>
      <c r="L1034" s="17"/>
      <c r="AC1034" s="1301"/>
    </row>
    <row r="1035">
      <c r="B1035" s="17"/>
      <c r="C1035" s="17"/>
      <c r="D1035" s="17"/>
      <c r="E1035" s="343"/>
      <c r="F1035" s="17"/>
      <c r="G1035" s="17"/>
      <c r="H1035" s="17"/>
      <c r="I1035" s="17"/>
      <c r="J1035" s="17" t="s">
        <v>1026</v>
      </c>
      <c r="K1035" s="17"/>
      <c r="L1035" s="17"/>
      <c r="AC1035" s="1301"/>
    </row>
    <row r="1036">
      <c r="B1036" s="17"/>
      <c r="C1036" s="17"/>
      <c r="D1036" s="17"/>
      <c r="E1036" s="343"/>
      <c r="F1036" s="17"/>
      <c r="G1036" s="17"/>
      <c r="H1036" s="17"/>
      <c r="I1036" s="17"/>
      <c r="J1036" s="17" t="s">
        <v>1026</v>
      </c>
      <c r="K1036" s="17"/>
      <c r="L1036" s="17"/>
      <c r="AC1036" s="1301"/>
    </row>
    <row r="1037">
      <c r="B1037" s="17"/>
      <c r="C1037" s="17"/>
      <c r="D1037" s="17"/>
      <c r="E1037" s="343"/>
      <c r="F1037" s="17"/>
      <c r="G1037" s="17"/>
      <c r="H1037" s="17"/>
      <c r="I1037" s="17"/>
      <c r="J1037" s="17" t="s">
        <v>1026</v>
      </c>
      <c r="K1037" s="17"/>
      <c r="L1037" s="17"/>
      <c r="AC1037" s="1301"/>
    </row>
    <row r="1038">
      <c r="B1038" s="17"/>
      <c r="C1038" s="17"/>
      <c r="D1038" s="17"/>
      <c r="E1038" s="343"/>
      <c r="F1038" s="17"/>
      <c r="G1038" s="17"/>
      <c r="H1038" s="17"/>
      <c r="I1038" s="17"/>
      <c r="J1038" s="17" t="s">
        <v>1026</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