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10"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<sst xmlns="http://schemas.openxmlformats.org/spreadsheetml/2006/main" count="7601" uniqueCount="1078">
  <si>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</si>
  <si>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</si>
  <si>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</si>
  <si>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</si>
  <si>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</si>
  <si>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</si>
  <si>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</si>
  <si>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</si>
  <si>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</si>
  <si>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</si>
  <si>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</si>
  <si>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</si>
  <si>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</si>
  <si>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</si>
  <si>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</si>
  <si>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</si>
  <si>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</si>
  <si>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</si>
  <si>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</si>
  <si>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</si>
  <si>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</si>
  <si>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</si>
  <si>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</si>
  <si>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</si>
  <si>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</si>
  <si>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</si>
  <si>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</si>
  <si>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</si>
  <si>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</si>
  <si>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</si>
  <si>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</si>
  <si>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</si>
  <si>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</si>
  <si>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</si>
  <si>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</si>
  <si>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</si>
  <si>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</si>
  <si>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</si>
  <si>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</si>
  <si>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</si>
  <si>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</si>
  <si>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</si>
  <si>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</si>
  <si>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</si>
  <si>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</si>
  <si>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</si>
  <si>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</si>
  <si>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</si>
  <si>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</si>
  <si>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</si>
  <si>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</si>
  <si>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</si>
  <si>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</si>
  <si>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</si>
  <si>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</si>
  <si>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</si>
  <si>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</si>
  <si>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</si>
  <si>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</si>
  <si>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</si>
  <si>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</si>
  <si>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</si>
  <si>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</si>
  <si>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</si>
  <si>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</si>
  <si>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</si>
  <si>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</si>
  <si>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</si>
  <si>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</si>
  <si>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</si>
  <si>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</si>
  <si>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</si>
  <si>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</si>
  <si>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</si>
  <si>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</si>
  <si>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</si>
  <si>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</si>
  <si>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</si>
  <si>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</si>
  <si>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</si>
  <si>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</si>
  <si>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</si>
  <si>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</si>
  <si>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</si>
  <si>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</si>
  <si>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</si>
  <si>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</si>
  <si>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</si>
  <si>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</si>
  <si>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</si>
  <si>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</si>
  <si>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</si>
  <si>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</si>
  <si>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</si>
  <si>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</si>
  <si>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</si>
  <si>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</si>
  <si>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</si>
  <si>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</si>
  <si>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</si>
  <si>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</si>
  <si>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</si>
  <si>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</si>
  <si>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</si>
  <si>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</si>
  <si>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</si>
  <si>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</si>
  <si>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</si>
  <si>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</si>
  <si>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</si>
  <si>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</si>
  <si>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</si>
  <si>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</si>
  <si>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</si>
  <si>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</si>
  <si>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</si>
  <si>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</si>
  <si>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</si>
  <si>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</si>
  <si>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</si>
  <si>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</si>
  <si>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</si>
  <si>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</si>
  <si>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</si>
  <si>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</si>
  <si>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</si>
  <si>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</si>
  <si>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</si>
  <si>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</si>
  <si>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</si>
  <si>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</si>
  <si>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</si>
  <si>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</si>
  <si>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</si>
  <si>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</si>
  <si>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</si>
  <si>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</si>
  <si>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</si>
  <si>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</si>
  <si>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</si>
  <si>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</si>
  <si>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</si>
  <si>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</si>
  <si>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</si>
  <si>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</si>
  <si>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</si>
  <si>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</si>
  <si>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</si>
  <si>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</si>
  <si>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</si>
  <si>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</si>
  <si>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</si>
  <si>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</si>
  <si>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</si>
  <si>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</si>
  <si>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</si>
  <si>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</si>
  <si>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</si>
  <si>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</si>
  <si>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</si>
  <si>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</si>
  <si>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</si>
  <si>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</si>
  <si>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</si>
  <si>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</si>
  <si>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</si>
  <si>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</si>
  <si>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</si>
  <si>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</si>
  <si>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</si>
  <si>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</si>
  <si>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</si>
  <si>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</si>
  <si>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</si>
  <si>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</si>
  <si>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</si>
  <si>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</si>
  <si>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</si>
  <si>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</si>
  <si>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</si>
  <si>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</si>
  <si>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</si>
  <si>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</si>
  <si>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</si>
  <si>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</si>
  <si>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</si>
  <si>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</si>
  <si>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</si>
  <si>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</si>
  <si>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</si>
  <si>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</si>
  <si>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</si>
  <si>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</si>
  <si>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6日</t>
  </si>
  <si>
    <t>冷蔵庫の中に髪の毛</t>
  </si>
  <si>
    <t>冷蔵庫の位置的にドアを閉める際に勢いでカーペットのゴミが入ってしまうことがあることも把握したうえで拭きあげを徹底する</t>
  </si>
  <si>
    <t>ジャムナ</t>
  </si>
  <si>
    <t>プスカル</t>
  </si>
  <si>
    <t>UBの壁に髪の毛が付いたままだった</t>
  </si>
  <si>
    <t>バスタブだけではなく壁までしっかり清掃・確認するように注意しました。</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</si>
  <si>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</si>
  <si>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</si>
  <si>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</si>
  <si>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</si>
  <si>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</si>
  <si>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</si>
  <si>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</si>
  <si>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</si>
  <si>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</si>
  <si>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</si>
  <si>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</si>
  <si>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</si>
  <si>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</si>
  <si>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</si>
  <si>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</si>
  <si>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</si>
  <si>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</si>
  <si>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</si>
  <si>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</si>
  <si>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</si>
  <si>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</si>
  <si>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</si>
  <si>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</si>
  <si>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</si>
  <si>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</si>
  <si>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</si>
  <si>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</si>
  <si>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</si>
  <si>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</si>
  <si>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</si>
  <si>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</si>
  <si>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</si>
  <si>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</si>
  <si>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</si>
  <si>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</si>
  <si>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</si>
  <si>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</si>
  <si>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</si>
  <si>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</si>
  <si>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</si>
  <si>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</si>
  <si>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</si>
  <si>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</si>
  <si>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</si>
  <si>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</si>
  <si>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</si>
  <si>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</si>
  <si>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</si>
  <si>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</si>
  <si>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</si>
  <si>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</si>
  <si>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</si>
  <si>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</si>
  <si>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</si>
  <si>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</si>
  <si>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</si>
  <si>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</si>
  <si>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</si>
  <si>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</si>
  <si>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</si>
  <si>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</si>
  <si>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</si>
  <si>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</si>
  <si>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</si>
  <si>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</si>
  <si>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</si>
  <si>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</si>
  <si>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</si>
  <si>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</si>
  <si>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</si>
  <si>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</si>
  <si>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</si>
  <si>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</si>
  <si>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</si>
  <si>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</si>
  <si>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</si>
  <si>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</si>
  <si>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</si>
  <si>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</si>
  <si>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</si>
  <si>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</si>
  <si>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</si>
  <si>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</si>
  <si>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</si>
  <si>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</si>
  <si>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</si>
  <si>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</si>
  <si>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</si>
  <si>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</si>
  <si>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</si>
  <si>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</si>
  <si>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</si>
  <si>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</si>
  <si>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</si>
  <si>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</si>
  <si>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</si>
  <si>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</si>
  <si>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</si>
  <si>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</si>
  <si>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</si>
  <si>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</si>
  <si>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</si>
  <si>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</si>
  <si>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</si>
  <si>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</si>
  <si>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</si>
  <si>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</si>
  <si>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</si>
  <si>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</si>
  <si>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</si>
  <si>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</si>
  <si>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</si>
  <si>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</si>
  <si>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</si>
  <si>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</si>
  <si>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</si>
  <si>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</si>
  <si>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</si>
  <si>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</si>
  <si>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</si>
  <si>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</si>
  <si>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</si>
  <si>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</si>
  <si>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</si>
  <si>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</si>
  <si>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</si>
  <si>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</si>
  <si>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</si>
  <si>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</si>
  <si>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</si>
  <si>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</si>
  <si>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</si>
  <si>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</si>
  <si>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</si>
  <si>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</si>
  <si>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</si>
  <si>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</si>
  <si>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</si>
  <si>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</si>
  <si>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</si>
  <si>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</si>
  <si>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</si>
  <si>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</si>
  <si>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</si>
  <si>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</si>
  <si>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</si>
  <si>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</si>
  <si>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</si>
  <si>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</si>
  <si>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</si>
  <si>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</si>
  <si>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</si>
  <si>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</si>
  <si>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</si>
  <si>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</si>
  <si>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</si>
  <si>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</si>
  <si>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</si>
  <si>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</si>
  <si>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</si>
  <si>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</si>
  <si>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</si>
  <si>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</si>
  <si>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</si>
  <si>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</si>
  <si>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</si>
  <si>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</si>
  <si>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</si>
  <si>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</si>
  <si>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</si>
  <si>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</si>
  <si>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</si>
  <si>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</si>
  <si>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</si>
  <si>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</si>
  <si>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</si>
  <si>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</si>
  <si>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</si>
  <si>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</si>
  <si>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</si>
  <si>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</si>
  <si>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</si>
  <si>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</si>
  <si>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</si>
  <si>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</si>
  <si>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</si>
  <si>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</si>
  <si>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</si>
  <si>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</si>
  <si>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</si>
  <si>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</si>
  <si>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</si>
  <si>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</si>
  <si>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</si>
  <si>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</si>
  <si>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</si>
  <si>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</si>
  <si>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</si>
  <si>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</si>
  <si>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</si>
  <si>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</si>
  <si>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</si>
  <si>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</si>
  <si>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</si>
  <si>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</si>
  <si>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</si>
  <si>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</si>
  <si>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</si>
  <si>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</si>
  <si>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</si>
  <si>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</si>
  <si>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</si>
  <si>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</si>
  <si>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</si>
  <si>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</si>
  <si>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</si>
  <si>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</si>
  <si>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</si>
  <si>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</si>
  <si>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</si>
  <si>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</si>
  <si>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</si>
  <si>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</si>
  <si>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</si>
  <si>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</si>
  <si>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</si>
  <si>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</si>
  <si>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</si>
  <si>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</si>
  <si>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</si>
  <si>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</si>
  <si>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</si>
  <si>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</si>
  <si>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</si>
  <si>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</si>
  <si>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</si>
  <si>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</si>
  <si>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</si>
  <si>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</si>
  <si>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</si>
  <si>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</si>
  <si>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</si>
  <si>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</si>
  <si>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</si>
  <si>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</si>
  <si>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</si>
  <si>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</si>
  <si>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</si>
  <si>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</si>
  <si>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</si>
  <si>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</si>
  <si>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</si>
  <si>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</si>
  <si>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</si>
  <si>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</si>
  <si>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</si>
  <si>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</si>
  <si>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</si>
  <si>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</si>
  <si>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</si>
  <si>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</si>
  <si>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</si>
  <si>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</si>
  <si>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</si>
  <si>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</si>
  <si>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</si>
  <si>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</si>
  <si>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</si>
  <si>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</si>
  <si>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</si>
  <si>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</si>
  <si>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</si>
  <si>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</si>
  <si>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</si>
  <si>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</si>
  <si>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</si>
  <si>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</si>
  <si>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</si>
  <si>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</si>
  <si>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</si>
  <si>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</si>
  <si>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</si>
  <si>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</si>
  <si>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</si>
  <si>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</si>
  <si>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</si>
  <si>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</si>
  <si>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</si>
  <si>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</si>
  <si>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</si>
  <si>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</si>
  <si>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</si>
  <si>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</si>
  <si>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</si>
  <si>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</si>
  <si>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</si>
  <si>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</si>
  <si>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</si>
  <si>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</si>
  <si>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</si>
  <si>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</si>
  <si>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</si>
  <si>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</si>
  <si>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</si>
  <si>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</si>
  <si>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</si>
  <si>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</si>
  <si>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</si>
  <si>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</si>
  <si>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</si>
  <si>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</si>
  <si>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</si>
  <si>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</si>
  <si>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</si>
  <si>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</si>
  <si>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</si>
  <si>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</si>
  <si>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</si>
  <si>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</si>
  <si>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</si>
  <si>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</si>
  <si>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</si>
  <si>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</si>
  <si>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</si>
  <si>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</si>
  <si>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</si>
  <si>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</si>
  <si>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</si>
  <si>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</si>
  <si>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</si>
  <si>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</si>
  <si>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</si>
  <si>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</si>
  <si>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</si>
  <si>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</si>
  <si>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</si>
  <si>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</si>
  <si>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</si>
  <si>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</si>
  <si>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</si>
  <si>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</si>
  <si>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</si>
  <si>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</si>
  <si>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</si>
  <si>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</si>
  <si>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</si>
  <si>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</si>
  <si>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</si>
  <si>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</si>
  <si>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</si>
  <si>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</si>
  <si>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</si>
  <si>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</si>
  <si>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</si>
  <si>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</si>
  <si>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</si>
  <si>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</si>
  <si>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</si>
  <si>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</si>
  <si>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</si>
  <si>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</si>
  <si>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</si>
  <si>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</si>
  <si>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</si>
  <si>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</si>
  <si>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</si>
  <si>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</si>
  <si>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</si>
  <si>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</si>
  <si>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</si>
  <si>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</si>
  <si>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</si>
  <si>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</si>
  <si>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</si>
  <si>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</si>
  <si>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</si>
  <si>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</si>
  <si>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</si>
  <si>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</si>
  <si>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</si>
  <si>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</si>
  <si>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</si>
  <si>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</si>
  <si>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</si>
  <si>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</si>
  <si>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</si>
  <si>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</si>
  <si>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</si>
  <si>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・年間クレーム数目標…87件以内(月間目安約7件)・品質検査…1237点以上での合格・口コミ…指摘率0.01%</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</si>
  <si>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</si>
  <si>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</si>
  <si>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スニタ（通常）</t>
  </si>
  <si>
    <t>スニタ（セルフ）</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</si>
  <si>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</si>
  <si>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ビマラ（通常）</t>
  </si>
  <si>
    <t>ビマラ（セルフ）</t>
  </si>
  <si>
    <t>ススマ（通常）</t>
  </si>
  <si>
    <t>ススマ（セルフ）</t>
  </si>
  <si>
    <t>バワニ（通常）</t>
  </si>
  <si>
    <t>バワニ（セルフ）</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</si>
  <si>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</si>
  <si>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</si>
  <si>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</si>
  <si>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</si>
  <si>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</si>
  <si>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</si>
  <si>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</si>
  <si>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</si>
  <si>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</si>
  <si>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</si>
  <si>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</si>
  <si>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</si>
  <si>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</si>
  <si>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</si>
  <si>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</si>
  <si>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</si>
  <si>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</si>
  <si>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</si>
  <si>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</si>
  <si>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</si>
  <si>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</si>
  <si>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</si>
  <si>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</si>
  <si>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</si>
  <si>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</si>
  <si>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</si>
  <si>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</si>
  <si>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</si>
  <si>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</si>
  <si>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</si>
  <si>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ネパール</t>
  </si>
  <si>
    <t>あり</t>
  </si>
  <si>
    <t>なし</t>
  </si>
  <si>
    <t>引っ越しのため</t>
  </si>
  <si>
    <t>副業との両立難しいため</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</si>
  <si>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</si>
  <si>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</si>
  <si>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</si>
  <si>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</si>
  <si>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</si>
  <si>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</si>
  <si>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</si>
  <si>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</si>
  <si>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</si>
  <si>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</si>
  <si>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</si>
  <si>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</si>
  <si>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</si>
  <si>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</si>
  <si>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</si>
  <si>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</si>
  <si>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</si>
  <si>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</si>
  <si>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</si>
  <si>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</si>
  <si>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</si>
  <si>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OKです。</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</si>
  <si>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</si>
  <si>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</si>
  <si>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</si>
  <si>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</si>
  <si>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</si>
  <si>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</si>
  <si>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</si>
  <si>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</si>
  <si>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</si>
  <si>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</si>
  <si>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</si>
  <si>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</si>
  <si>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</si>
  <si>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</si>
  <si>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</si>
  <si>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</si>
  <si>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</si>
  <si>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</si>
  <si>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</si>
  <si>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</si>
  <si>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</si>
  <si>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</si>
  <si>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</si>
  <si>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</si>
  <si>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</si>
  <si>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</si>
  <si>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</si>
  <si>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</si>
  <si>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</si>
  <si>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</si>
  <si>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</si>
  <si>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</si>
  <si>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</si>
  <si>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</si>
  <si>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</si>
  <si>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</si>
  <si>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</si>
  <si>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</si>
  <si>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</si>
  <si>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</si>
  <si>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</si>
  <si>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</si>
  <si>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</si>
  <si>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</si>
  <si>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</si>
  <si>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</si>
  <si>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</si>
  <si>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</si>
  <si>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</si>
  <si>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</si>
  <si>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</si>
  <si>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</si>
  <si>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</si>
  <si>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</si>
  <si>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</si>
  <si>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</si>
  <si>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</si>
  <si>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</si>
  <si>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</si>
  <si>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</si>
  <si>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</si>
  <si>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</si>
  <si>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</si>
  <si>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</si>
  <si>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</si>
  <si>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</si>
  <si>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</si>
  <si>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</si>
  <si>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</si>
  <si>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</si>
  <si>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</si>
  <si>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</si>
  <si>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</si>
  <si>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</si>
  <si>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</si>
  <si>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</si>
  <si>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</si>
  <si>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</si>
  <si>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</si>
  <si>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</si>
  <si>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</si>
  <si>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</si>
  <si>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</si>
  <si>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</si>
  <si>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</si>
  <si>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</si>
  <si>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</si>
  <si>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</si>
  <si>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</si>
  <si>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</si>
  <si>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</si>
  <si>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</si>
  <si>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</si>
  <si>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</si>
  <si>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</si>
  <si>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</si>
  <si>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</si>
  <si>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</si>
  <si>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</si>
  <si>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</si>
  <si>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</si>
  <si>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</si>
  <si>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</si>
  <si>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</si>
  <si>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</si>
  <si>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</si>
  <si>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</si>
  <si>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</si>
  <si>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</si>
  <si>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</si>
  <si>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</si>
  <si>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</si>
  <si>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</si>
  <si>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</si>
  <si>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</si>
  <si>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</si>
  <si>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</si>
  <si>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</si>
  <si>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</si>
  <si>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</si>
  <si>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</si>
  <si>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</si>
  <si>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</si>
  <si>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</si>
  <si>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</si>
  <si>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</si>
  <si>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</si>
  <si>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</si>
  <si>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</si>
  <si>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</si>
  <si>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</si>
  <si>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</si>
  <si>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</si>
  <si>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</si>
  <si>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30日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</si>
  <si>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</si>
  <si>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</si>
  <si>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</si>
  <si>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</si>
  <si>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</si>
  <si>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</si>
  <si>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</si>
  <si>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</si>
  <si>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</si>
  <si>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</si>
  <si>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</si>
  <si>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</si>
  <si>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</si>
  <si>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</si>
  <si>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</si>
  <si>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</si>
  <si>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</si>
  <si>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</si>
  <si>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</si>
  <si>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</si>
  <si>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</si>
  <si>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</si>
  <si>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</si>
  <si>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</si>
  <si>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</si>
  <si>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</si>
  <si>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</si>
  <si>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</si>
  <si>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</si>
  <si>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</si>
  <si>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</si>
  <si>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</si>
  <si>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</si>
  <si>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</si>
  <si>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</si>
  <si>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</si>
  <si>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</si>
  <si>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</si>
  <si>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</si>
  <si>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</si>
  <si>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</si>
  <si>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</si>
  <si>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</si>
  <si>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</si>
  <si>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</si>
  <si>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</si>
  <si>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</si>
  <si>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</si>
  <si>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</si>
  <si>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</si>
  <si>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</si>
  <si>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</si>
  <si>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</si>
  <si>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</si>
  <si>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</si>
  <si>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</si>
  <si>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</si>
  <si>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</si>
  <si>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</si>
  <si>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</si>
  <si>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</si>
  <si>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</si>
  <si>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</si>
  <si>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</si>
  <si>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</si>
  <si>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</si>
  <si>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</si>
  <si>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</si>
  <si>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</si>
  <si>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</si>
  <si>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</si>
  <si>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</si>
  <si>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</si>
  <si>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</si>
  <si>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</si>
  <si>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</si>
  <si>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</si>
  <si>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</si>
  <si>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</si>
  <si>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</si>
  <si>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</si>
  <si>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</si>
  <si>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</si>
  <si>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</si>
  <si>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</si>
  <si>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</si>
  <si>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</si>
  <si>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</si>
  <si>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</si>
  <si>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</si>
  <si>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</si>
  <si>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</si>
  <si>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</si>
  <si>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</si>
  <si>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</si>
  <si>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</si>
  <si>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</si>
  <si>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</si>
  <si>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</si>
  <si>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</si>
  <si>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</si>
  <si>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</si>
  <si>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</si>
  <si>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</si>
  <si>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</si>
  <si>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</si>
  <si>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</si>
  <si>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</si>
  <si>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</si>
  <si>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</si>
  <si>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</si>
  <si>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
  </si>
  <si>
    <t>R803_ハートンホテル東品川_アルバイト給料</t>
  </si>
  <si>
    <t>歩合</t>
  </si>
  <si>
    <t>歩+時</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</si>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</sst>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yyyy&quot;年&quot;mm&quot;月&quot;"/>
    <numFmt numFmtId="173" formatCode="0.0%"/>
    <numFmt numFmtId="174" formatCode="&quot;¥&quot;#,##0"/>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88">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u/>
      <sz val="9.0"/>
      <color rgb="FF434343"/>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16.0"/>
      <color rgb="FFFFFFFF"/>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2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4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0" xfId="0" applyAlignment="1" applyBorder="1" applyFon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Border="1" applyFont="1"/>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2"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3"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2" xfId="0" applyAlignment="1" applyFont="1" applyNumberFormat="1">
      <alignment readingOrder="0" shrinkToFit="0" vertical="center" wrapText="1"/>
    </xf>
    <xf borderId="18" fillId="0" fontId="2" numFmtId="172"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2" xfId="0" applyAlignment="1" applyFont="1" applyNumberFormat="1">
      <alignment shrinkToFit="0" vertical="center" wrapText="1"/>
    </xf>
    <xf borderId="18" fillId="0" fontId="2" numFmtId="172"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4"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2"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5" xfId="0" applyAlignment="1" applyFont="1" applyNumberFormat="1">
      <alignment horizontal="center" readingOrder="0" vertical="center"/>
    </xf>
    <xf borderId="0" fillId="0" fontId="2" numFmtId="175"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5" xfId="0" applyAlignment="1" applyFont="1" applyNumberFormat="1">
      <alignment horizontal="center" readingOrder="0" vertical="center"/>
    </xf>
    <xf borderId="0" fillId="34" fontId="96" numFmtId="175"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2" xfId="0" applyAlignment="1" applyFont="1" applyNumberFormat="1">
      <alignment readingOrder="0"/>
    </xf>
    <xf borderId="0" fillId="0" fontId="109" numFmtId="0" xfId="0" applyAlignment="1" applyFont="1">
      <alignment readingOrder="0"/>
    </xf>
    <xf borderId="0" fillId="0" fontId="109" numFmtId="175" xfId="0" applyAlignment="1" applyFont="1" applyNumberFormat="1">
      <alignment horizontal="center" readingOrder="0" vertical="center"/>
    </xf>
    <xf borderId="0" fillId="0" fontId="109" numFmtId="175"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5"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6"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2" xfId="0" applyAlignment="1" applyFont="1" applyNumberFormat="1">
      <alignment readingOrder="0" vertical="center"/>
    </xf>
    <xf borderId="136" fillId="3" fontId="119" numFmtId="177" xfId="0" applyAlignment="1" applyBorder="1" applyFont="1" applyNumberFormat="1">
      <alignment horizontal="center" readingOrder="0" vertical="center"/>
    </xf>
    <xf borderId="137" fillId="0" fontId="4" numFmtId="0" xfId="0" applyBorder="1" applyFont="1"/>
    <xf borderId="138" fillId="3" fontId="119" numFmtId="178"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5"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6" xfId="0" applyAlignment="1" applyBorder="1" applyFont="1" applyNumberFormat="1">
      <alignment horizontal="center" vertical="center"/>
    </xf>
    <xf borderId="18" fillId="33" fontId="101" numFmtId="176"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2"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7" numFmtId="172"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0"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1"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7" fontId="128"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8" numFmtId="0" xfId="0" applyAlignment="1" applyFont="1">
      <alignment shrinkToFit="0" vertical="center" wrapText="1"/>
    </xf>
    <xf borderId="159" fillId="2" fontId="132" numFmtId="0" xfId="0" applyAlignment="1" applyBorder="1" applyFont="1">
      <alignment readingOrder="0" shrinkToFit="0" vertical="center" wrapText="0"/>
    </xf>
    <xf borderId="160" fillId="2" fontId="132"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2" numFmtId="179" xfId="0" applyAlignment="1" applyBorder="1" applyFont="1" applyNumberFormat="1">
      <alignment horizontal="center" readingOrder="0" shrinkToFit="0" vertical="center" wrapText="1"/>
    </xf>
    <xf borderId="160" fillId="2" fontId="132"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2"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22" numFmtId="0" xfId="0" applyAlignment="1" applyBorder="1" applyFont="1">
      <alignment shrinkToFit="0" vertical="center" wrapText="1"/>
    </xf>
    <xf borderId="0" fillId="0" fontId="94" numFmtId="172" xfId="0" applyAlignment="1" applyFont="1" applyNumberFormat="1">
      <alignment readingOrder="0" shrinkToFit="0" vertical="center" wrapText="1"/>
    </xf>
    <xf borderId="18" fillId="0" fontId="94" numFmtId="172" xfId="0" applyAlignment="1" applyBorder="1" applyFont="1" applyNumberFormat="1">
      <alignment horizontal="center" readingOrder="0" shrinkToFit="0" vertical="center" wrapText="1"/>
    </xf>
    <xf borderId="163" fillId="8" fontId="133" numFmtId="0" xfId="0" applyAlignment="1" applyBorder="1" applyFont="1">
      <alignment readingOrder="0" shrinkToFit="0" vertical="center" wrapText="1"/>
    </xf>
    <xf borderId="164" fillId="8" fontId="134" numFmtId="169" xfId="0" applyAlignment="1" applyBorder="1" applyFont="1" applyNumberFormat="1">
      <alignment horizontal="center" shrinkToFit="0" vertical="center" wrapText="1"/>
    </xf>
    <xf borderId="164" fillId="8" fontId="134" numFmtId="0" xfId="0" applyAlignment="1" applyBorder="1" applyFont="1">
      <alignment horizontal="center" shrinkToFit="0" vertical="center" wrapText="1"/>
    </xf>
    <xf borderId="164" fillId="8" fontId="128" numFmtId="0" xfId="0" applyAlignment="1" applyBorder="1" applyFont="1">
      <alignment readingOrder="0" shrinkToFit="0" vertical="center" wrapText="1"/>
    </xf>
    <xf borderId="164" fillId="8" fontId="128"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4" numFmtId="0" xfId="0" applyAlignment="1" applyBorder="1" applyFont="1">
      <alignment horizontal="center" readingOrder="0" shrinkToFit="0" vertical="center" wrapText="1"/>
    </xf>
    <xf borderId="164" fillId="8" fontId="134" numFmtId="179"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8" numFmtId="0" xfId="0" applyAlignment="1" applyBorder="1" applyFont="1">
      <alignment horizontal="left" readingOrder="0" shrinkToFit="0" vertical="center" wrapText="1"/>
    </xf>
    <xf borderId="116" fillId="8" fontId="135" numFmtId="0" xfId="0" applyAlignment="1" applyBorder="1" applyFont="1">
      <alignment horizontal="left" readingOrder="0" shrinkToFit="0" vertical="center" wrapText="1"/>
    </xf>
    <xf borderId="116" fillId="0" fontId="4" numFmtId="0" xfId="0" applyBorder="1" applyFont="1"/>
    <xf borderId="171" fillId="8" fontId="135" numFmtId="0" xfId="0" applyAlignment="1" applyBorder="1" applyFont="1">
      <alignment horizontal="left" readingOrder="0" shrinkToFit="0" vertical="center" wrapText="1"/>
    </xf>
    <xf borderId="172" fillId="7" fontId="133" numFmtId="0" xfId="0" applyAlignment="1" applyBorder="1" applyFont="1">
      <alignment readingOrder="0" shrinkToFit="0" vertical="center" wrapText="1"/>
    </xf>
    <xf borderId="168" fillId="7" fontId="134" numFmtId="169" xfId="0" applyAlignment="1" applyBorder="1" applyFont="1" applyNumberFormat="1">
      <alignment horizontal="center" shrinkToFit="0" vertical="center" wrapText="1"/>
    </xf>
    <xf borderId="168" fillId="7" fontId="134" numFmtId="0" xfId="0" applyAlignment="1" applyBorder="1" applyFont="1">
      <alignment horizontal="center" shrinkToFit="0" vertical="center" wrapText="1"/>
    </xf>
    <xf borderId="168" fillId="7" fontId="128" numFmtId="0" xfId="0" applyAlignment="1" applyBorder="1" applyFont="1">
      <alignment readingOrder="0" shrinkToFit="0" vertical="center" wrapText="1"/>
    </xf>
    <xf borderId="164" fillId="7" fontId="128"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4" numFmtId="0" xfId="0" applyAlignment="1" applyBorder="1" applyFont="1">
      <alignment horizontal="center" readingOrder="0" shrinkToFit="0" vertical="center" wrapText="1"/>
    </xf>
    <xf borderId="164" fillId="7" fontId="134" numFmtId="179" xfId="0" applyAlignment="1" applyBorder="1" applyFont="1" applyNumberFormat="1">
      <alignment horizontal="center" readingOrder="0" shrinkToFit="0" vertical="center" wrapText="1"/>
    </xf>
    <xf borderId="164" fillId="7" fontId="134" numFmtId="0" xfId="0" applyAlignment="1" applyBorder="1" applyFont="1">
      <alignment horizontal="center"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2"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8" numFmtId="0" xfId="0" applyAlignment="1" applyBorder="1" applyFont="1">
      <alignment horizontal="left" readingOrder="0" shrinkToFit="0" vertical="center" wrapText="1"/>
    </xf>
    <xf borderId="116" fillId="7" fontId="135" numFmtId="0" xfId="0" applyAlignment="1" applyBorder="1" applyFont="1">
      <alignment horizontal="left" readingOrder="0" shrinkToFit="0" vertical="center" wrapText="1"/>
    </xf>
    <xf borderId="171" fillId="7" fontId="135" numFmtId="0" xfId="0" applyAlignment="1" applyBorder="1" applyFont="1">
      <alignment horizontal="left" readingOrder="0" shrinkToFit="0" vertical="center" wrapText="1"/>
    </xf>
    <xf borderId="172" fillId="0" fontId="133" numFmtId="0" xfId="0" applyAlignment="1" applyBorder="1" applyFont="1">
      <alignment readingOrder="0" shrinkToFit="0" vertical="center" wrapText="1"/>
    </xf>
    <xf borderId="168" fillId="0" fontId="134" numFmtId="169" xfId="0" applyAlignment="1" applyBorder="1" applyFont="1" applyNumberFormat="1">
      <alignment horizontal="center" shrinkToFit="0" vertical="center" wrapText="1"/>
    </xf>
    <xf borderId="168" fillId="0" fontId="134" numFmtId="0" xfId="0" applyAlignment="1" applyBorder="1" applyFont="1">
      <alignment horizontal="center" shrinkToFit="0" vertical="center" wrapText="1"/>
    </xf>
    <xf borderId="168" fillId="0" fontId="128" numFmtId="0" xfId="0" applyAlignment="1" applyBorder="1" applyFont="1">
      <alignment readingOrder="0" shrinkToFit="0" vertical="center" wrapText="1"/>
    </xf>
    <xf borderId="168" fillId="0" fontId="128"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4" numFmtId="0" xfId="0" applyAlignment="1" applyBorder="1" applyFont="1">
      <alignment horizontal="center" readingOrder="0" shrinkToFit="0" vertical="center" wrapText="1"/>
    </xf>
    <xf borderId="168" fillId="0" fontId="134" numFmtId="179"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68" fillId="7" fontId="128"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4" numFmtId="0" xfId="0" applyAlignment="1" applyBorder="1" applyFont="1">
      <alignment horizontal="center" readingOrder="0" shrinkToFit="0" vertical="center" wrapText="1"/>
    </xf>
    <xf borderId="168" fillId="7" fontId="134" numFmtId="179"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2" numFmtId="0" xfId="0" applyAlignment="1" applyBorder="1" applyFont="1">
      <alignment readingOrder="0" shrinkToFit="0" vertical="center" wrapText="0"/>
    </xf>
    <xf borderId="178" fillId="2" fontId="132"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2" numFmtId="179" xfId="0" applyAlignment="1" applyBorder="1" applyFont="1" applyNumberFormat="1">
      <alignment horizontal="center" readingOrder="0" shrinkToFit="0" vertical="center" wrapText="1"/>
    </xf>
    <xf borderId="178" fillId="2" fontId="132" numFmtId="0" xfId="0" applyAlignment="1" applyBorder="1" applyFont="1">
      <alignment horizontal="center" shrinkToFit="0" vertical="center" wrapText="1"/>
    </xf>
    <xf borderId="178" fillId="2" fontId="132"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8" numFmtId="0" xfId="0" applyAlignment="1" applyBorder="1" applyFont="1">
      <alignment horizontal="left" readingOrder="0" shrinkToFit="0" vertical="center" wrapText="1"/>
    </xf>
    <xf borderId="183" fillId="8" fontId="135" numFmtId="0" xfId="0" applyAlignment="1" applyBorder="1" applyFont="1">
      <alignment horizontal="left" readingOrder="0" shrinkToFit="0" vertical="center" wrapText="1"/>
    </xf>
    <xf borderId="183" fillId="0" fontId="4" numFmtId="0" xfId="0" applyBorder="1" applyFont="1"/>
    <xf borderId="184" fillId="8" fontId="135" numFmtId="0" xfId="0" applyAlignment="1" applyBorder="1" applyFont="1">
      <alignment horizontal="left" readingOrder="0" shrinkToFit="0" vertical="center" wrapText="1"/>
    </xf>
    <xf borderId="0" fillId="0" fontId="128" numFmtId="169"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6"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8" fontId="138" numFmtId="0" xfId="0" applyAlignment="1" applyBorder="1" applyFont="1">
      <alignment horizontal="center" readingOrder="0" vertical="center"/>
    </xf>
    <xf borderId="5" fillId="3" fontId="139" numFmtId="0" xfId="0" applyAlignment="1" applyBorder="1" applyFont="1">
      <alignment horizontal="center" readingOrder="0" vertical="center"/>
    </xf>
    <xf borderId="5" fillId="8"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3" numFmtId="0" xfId="0" applyAlignment="1" applyBorder="1" applyFont="1">
      <alignment horizontal="left" readingOrder="0" vertical="center"/>
    </xf>
    <xf borderId="74" fillId="0" fontId="134" numFmtId="0" xfId="0" applyAlignment="1" applyBorder="1" applyFont="1">
      <alignment readingOrder="0"/>
    </xf>
    <xf borderId="0" fillId="0" fontId="134" numFmtId="0" xfId="0" applyAlignment="1" applyFont="1">
      <alignment readingOrder="0"/>
    </xf>
    <xf borderId="30" fillId="45" fontId="134" numFmtId="0" xfId="0" applyAlignment="1" applyBorder="1" applyFill="1" applyFont="1">
      <alignment readingOrder="0" vertical="center"/>
    </xf>
    <xf borderId="0" fillId="0" fontId="142" numFmtId="0" xfId="0" applyAlignment="1" applyFont="1">
      <alignment horizontal="center" readingOrder="0" vertical="center"/>
    </xf>
    <xf borderId="1" fillId="4" fontId="134"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4" numFmtId="0" xfId="0" applyAlignment="1" applyBorder="1" applyFont="1">
      <alignment horizontal="center" readingOrder="0" vertical="center"/>
    </xf>
    <xf borderId="76" fillId="0" fontId="133"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5" numFmtId="10" xfId="0" applyAlignment="1" applyBorder="1" applyFont="1" applyNumberFormat="1">
      <alignment horizontal="center" vertical="center"/>
    </xf>
    <xf borderId="3" fillId="46" fontId="145"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2"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0" xfId="0" applyAlignment="1" applyBorder="1" applyFon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39" numFmtId="0" xfId="0" applyAlignment="1" applyBorder="1" applyFont="1">
      <alignment horizontal="center" vertical="center"/>
    </xf>
    <xf borderId="97" fillId="12" fontId="18" numFmtId="180"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0" xfId="0" applyAlignment="1" applyBorder="1" applyFont="1" applyNumberFormat="1">
      <alignment horizontal="center" readingOrder="0" vertical="center"/>
    </xf>
    <xf borderId="1" fillId="32" fontId="139" numFmtId="0" xfId="0" applyAlignment="1" applyBorder="1" applyFont="1">
      <alignment horizontal="center" vertical="center"/>
    </xf>
    <xf borderId="188" fillId="12" fontId="18" numFmtId="180"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3"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7" fontId="21" numFmtId="181" xfId="0" applyAlignment="1" applyBorder="1" applyFont="1" applyNumberFormat="1">
      <alignment horizontal="center" vertical="center"/>
    </xf>
    <xf borderId="1" fillId="45" fontId="134"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1"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4" numFmtId="0" xfId="0" applyAlignment="1" applyBorder="1" applyFont="1">
      <alignment readingOrder="0" vertical="center"/>
    </xf>
    <xf borderId="4" fillId="0" fontId="134"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7" numFmtId="0" xfId="0" applyAlignment="1" applyBorder="1" applyFont="1">
      <alignment vertical="center"/>
    </xf>
    <xf borderId="0" fillId="0" fontId="147"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48" numFmtId="0" xfId="0" applyAlignment="1" applyBorder="1" applyFont="1">
      <alignment vertical="center"/>
    </xf>
    <xf borderId="0" fillId="0" fontId="148"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1"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4" numFmtId="0" xfId="0" applyAlignment="1" applyBorder="1" applyFont="1">
      <alignment readingOrder="0" vertical="center"/>
    </xf>
    <xf borderId="0" fillId="0" fontId="133" numFmtId="0" xfId="0" applyAlignment="1" applyFont="1">
      <alignment readingOrder="0" shrinkToFit="0" vertical="center" wrapText="1"/>
    </xf>
    <xf borderId="1" fillId="2" fontId="134" numFmtId="0" xfId="0" applyAlignment="1" applyBorder="1" applyFont="1">
      <alignment horizontal="center" readingOrder="0" shrinkToFit="0" vertical="center" wrapText="1"/>
    </xf>
    <xf borderId="19" fillId="28" fontId="67" numFmtId="182" xfId="0" applyAlignment="1" applyBorder="1" applyFont="1" applyNumberFormat="1">
      <alignment horizontal="center" vertical="center"/>
    </xf>
    <xf borderId="19" fillId="28" fontId="149" numFmtId="0" xfId="0" applyBorder="1" applyFont="1"/>
    <xf borderId="18" fillId="24" fontId="48" numFmtId="176"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0" numFmtId="0" xfId="0" applyAlignment="1" applyBorder="1" applyFont="1">
      <alignment horizontal="left" readingOrder="0" vertical="center"/>
    </xf>
    <xf borderId="18" fillId="0" fontId="151" numFmtId="0" xfId="0" applyAlignment="1" applyBorder="1" applyFont="1">
      <alignment shrinkToFit="0" vertical="center" wrapText="1"/>
    </xf>
    <xf borderId="168" fillId="0" fontId="134" numFmtId="20" xfId="0" applyAlignment="1" applyBorder="1" applyFont="1" applyNumberFormat="1">
      <alignment horizontal="center" readingOrder="0" shrinkToFit="0" vertical="center" wrapText="1"/>
    </xf>
    <xf borderId="3" fillId="2" fontId="21" numFmtId="165" xfId="0" applyAlignment="1" applyBorder="1" applyFont="1" applyNumberFormat="1">
      <alignment horizontal="center" vertical="center"/>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2" numFmtId="0" xfId="0" applyAlignment="1" applyBorder="1" applyFont="1">
      <alignment horizontal="left" readingOrder="0" vertical="center"/>
    </xf>
    <xf borderId="168" fillId="7" fontId="134"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3" numFmtId="0" xfId="0" applyAlignment="1" applyFont="1">
      <alignment readingOrder="0" vertical="center"/>
    </xf>
    <xf borderId="0" fillId="39" fontId="127"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4"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5"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6" numFmtId="0" xfId="0" applyAlignment="1" applyBorder="1" applyFont="1">
      <alignment readingOrder="0" vertical="center"/>
    </xf>
    <xf borderId="18" fillId="0" fontId="157"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7" numFmtId="0" xfId="0" applyAlignment="1" applyBorder="1" applyFill="1" applyFont="1">
      <alignment vertical="center"/>
    </xf>
    <xf borderId="18" fillId="30" fontId="157" numFmtId="0" xfId="0" applyAlignment="1" applyBorder="1" applyFont="1">
      <alignment vertical="center"/>
    </xf>
    <xf borderId="18" fillId="0" fontId="155" numFmtId="0" xfId="0" applyAlignment="1" applyBorder="1" applyFont="1">
      <alignment vertical="center"/>
    </xf>
    <xf borderId="18" fillId="36" fontId="2" numFmtId="0" xfId="0" applyAlignment="1" applyBorder="1" applyFont="1">
      <alignment vertical="center"/>
    </xf>
    <xf borderId="0" fillId="0" fontId="155"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7"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8" numFmtId="10" xfId="0" applyAlignment="1" applyFont="1" applyNumberFormat="1">
      <alignment shrinkToFit="0" wrapText="0"/>
    </xf>
    <xf borderId="0" fillId="0" fontId="158"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59" numFmtId="0" xfId="0" applyFont="1"/>
    <xf borderId="3" fillId="0" fontId="159" numFmtId="0" xfId="0" applyBorder="1" applyFont="1"/>
    <xf borderId="3" fillId="52" fontId="159" numFmtId="0" xfId="0" applyAlignment="1" applyBorder="1" applyFill="1" applyFont="1">
      <alignment horizontal="right"/>
    </xf>
    <xf borderId="3" fillId="53" fontId="159" numFmtId="0" xfId="0" applyBorder="1" applyFill="1" applyFont="1"/>
    <xf borderId="3" fillId="10" fontId="159" numFmtId="0" xfId="0" applyAlignment="1" applyBorder="1" applyFont="1">
      <alignment horizontal="right"/>
    </xf>
    <xf borderId="191" fillId="53" fontId="159" numFmtId="0" xfId="0" applyBorder="1" applyFont="1"/>
    <xf borderId="3" fillId="0" fontId="158" numFmtId="0" xfId="0" applyAlignment="1" applyBorder="1" applyFont="1">
      <alignment readingOrder="0" shrinkToFit="0" wrapText="0"/>
    </xf>
    <xf borderId="3" fillId="0" fontId="158" numFmtId="0" xfId="0" applyAlignment="1" applyBorder="1" applyFont="1">
      <alignment horizontal="center" readingOrder="0" shrinkToFit="0" wrapText="0"/>
    </xf>
    <xf borderId="3" fillId="54" fontId="158" numFmtId="0" xfId="0" applyAlignment="1" applyBorder="1" applyFill="1" applyFont="1">
      <alignment horizontal="center" readingOrder="0" shrinkToFit="0" wrapText="0"/>
    </xf>
    <xf borderId="3" fillId="2" fontId="159" numFmtId="177"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59" numFmtId="0" xfId="0" applyAlignment="1" applyBorder="1" applyFont="1">
      <alignment horizontal="right"/>
    </xf>
    <xf borderId="3" fillId="10" fontId="43" numFmtId="0" xfId="0" applyBorder="1" applyFont="1"/>
    <xf borderId="3" fillId="0" fontId="3" numFmtId="0" xfId="0" applyBorder="1" applyFont="1"/>
    <xf borderId="3" fillId="0" fontId="159" numFmtId="1" xfId="0" applyAlignment="1" applyBorder="1" applyFont="1" applyNumberFormat="1">
      <alignment horizontal="right"/>
    </xf>
    <xf borderId="3" fillId="0" fontId="158" numFmtId="3" xfId="0" applyAlignment="1" applyBorder="1" applyFont="1" applyNumberFormat="1">
      <alignment horizontal="right" readingOrder="0" shrinkToFit="0" wrapText="0"/>
    </xf>
    <xf borderId="3" fillId="0" fontId="160" numFmtId="0" xfId="0" applyAlignment="1" applyBorder="1" applyFont="1">
      <alignment readingOrder="0"/>
    </xf>
    <xf borderId="3" fillId="0" fontId="160" numFmtId="0" xfId="0" applyAlignment="1" applyBorder="1" applyFont="1">
      <alignment horizontal="center" readingOrder="0"/>
    </xf>
    <xf borderId="3" fillId="7" fontId="160" numFmtId="0" xfId="0" applyAlignment="1" applyBorder="1" applyFont="1">
      <alignment horizontal="center" readingOrder="0"/>
    </xf>
    <xf borderId="3" fillId="0" fontId="160" numFmtId="0" xfId="0" applyAlignment="1" applyBorder="1" applyFont="1">
      <alignment horizontal="right" readingOrder="0" shrinkToFit="0" wrapText="0"/>
    </xf>
    <xf borderId="3" fillId="0" fontId="159" numFmtId="14" xfId="0" applyBorder="1" applyFont="1" applyNumberFormat="1"/>
    <xf borderId="3" fillId="8" fontId="159" numFmtId="0" xfId="0" applyAlignment="1" applyBorder="1" applyFont="1">
      <alignment horizontal="right"/>
    </xf>
    <xf borderId="3" fillId="0" fontId="158" numFmtId="10" xfId="0" applyAlignment="1" applyBorder="1" applyFont="1" applyNumberFormat="1">
      <alignment horizontal="right" readingOrder="0" shrinkToFit="0" wrapText="0"/>
    </xf>
    <xf borderId="192" fillId="10" fontId="159" numFmtId="0" xfId="0" applyAlignment="1" applyBorder="1" applyFont="1">
      <alignment horizontal="right"/>
    </xf>
    <xf borderId="1" fillId="53" fontId="159" numFmtId="0" xfId="0" applyAlignment="1" applyBorder="1" applyFont="1">
      <alignment horizontal="center"/>
    </xf>
    <xf borderId="3" fillId="10" fontId="159"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59" numFmtId="0" xfId="0" applyAlignment="1" applyBorder="1" applyFont="1">
      <alignment horizontal="right" shrinkToFit="0" wrapText="1"/>
    </xf>
    <xf borderId="193" fillId="53" fontId="159" numFmtId="0" xfId="0" applyAlignment="1" applyBorder="1" applyFont="1">
      <alignment horizontal="center"/>
    </xf>
    <xf borderId="3" fillId="0" fontId="159"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59" numFmtId="0" xfId="0" applyBorder="1" applyFont="1"/>
    <xf borderId="1" fillId="0" fontId="159"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59" numFmtId="0" xfId="0" applyAlignment="1" applyBorder="1" applyFont="1">
      <alignment horizontal="right"/>
    </xf>
    <xf borderId="3" fillId="0" fontId="160" numFmtId="0" xfId="0" applyAlignment="1" applyBorder="1" applyFont="1">
      <alignment shrinkToFit="0" wrapText="0"/>
    </xf>
    <xf borderId="195" fillId="10" fontId="159" numFmtId="0" xfId="0" applyAlignment="1" applyBorder="1" applyFont="1">
      <alignment horizontal="right"/>
    </xf>
    <xf borderId="3" fillId="0" fontId="161" numFmtId="0" xfId="0" applyBorder="1" applyFont="1"/>
    <xf borderId="3" fillId="0" fontId="161" numFmtId="0" xfId="0" applyAlignment="1" applyBorder="1" applyFont="1">
      <alignment horizontal="center"/>
    </xf>
    <xf borderId="3" fillId="7" fontId="161" numFmtId="0" xfId="0" applyAlignment="1" applyBorder="1" applyFont="1">
      <alignment horizontal="center"/>
    </xf>
    <xf borderId="3" fillId="0" fontId="158" numFmtId="0" xfId="0" applyAlignment="1" applyBorder="1" applyFont="1">
      <alignment shrinkToFit="0" wrapText="0"/>
    </xf>
    <xf borderId="196" fillId="8" fontId="159" numFmtId="0" xfId="0" applyAlignment="1" applyBorder="1" applyFont="1">
      <alignment horizontal="right"/>
    </xf>
    <xf borderId="194" fillId="10" fontId="159"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59" numFmtId="0" xfId="0" applyAlignment="1" applyBorder="1" applyFont="1">
      <alignment horizontal="right"/>
    </xf>
    <xf borderId="3" fillId="8" fontId="43" numFmtId="0" xfId="0" applyBorder="1" applyFont="1"/>
    <xf borderId="0" fillId="0" fontId="159" numFmtId="9" xfId="0" applyAlignment="1" applyFont="1" applyNumberFormat="1">
      <alignment horizontal="right"/>
    </xf>
    <xf borderId="0" fillId="0" fontId="158" numFmtId="0" xfId="0" applyAlignment="1" applyFont="1">
      <alignment horizontal="right" readingOrder="0" shrinkToFit="0" wrapText="0"/>
    </xf>
    <xf borderId="3" fillId="0" fontId="159" numFmtId="9" xfId="0" applyAlignment="1" applyBorder="1" applyFont="1" applyNumberFormat="1">
      <alignment horizontal="right"/>
    </xf>
    <xf borderId="0" fillId="0" fontId="48" numFmtId="0" xfId="0" applyAlignment="1" applyFont="1">
      <alignment readingOrder="0"/>
    </xf>
    <xf borderId="3" fillId="0" fontId="159" numFmtId="184" xfId="0" applyAlignment="1" applyBorder="1" applyFont="1" applyNumberFormat="1">
      <alignment horizontal="right"/>
    </xf>
    <xf borderId="0" fillId="0" fontId="160" numFmtId="0" xfId="0" applyAlignment="1" applyFont="1">
      <alignment readingOrder="0" shrinkToFit="0" wrapText="0"/>
    </xf>
    <xf borderId="0" fillId="0" fontId="160" numFmtId="0" xfId="0" applyAlignment="1" applyFont="1">
      <alignment shrinkToFit="0" wrapText="0"/>
    </xf>
    <xf borderId="0" fillId="0" fontId="158"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59" numFmtId="0" xfId="0" applyAlignment="1" applyBorder="1" applyFont="1">
      <alignment horizontal="right" readingOrder="0"/>
    </xf>
    <xf borderId="0" fillId="0" fontId="43" numFmtId="14" xfId="0" applyAlignment="1" applyFont="1" applyNumberFormat="1">
      <alignment readingOrder="0"/>
    </xf>
    <xf borderId="3" fillId="0" fontId="159" numFmtId="0" xfId="0" applyAlignment="1" applyBorder="1" applyFont="1">
      <alignment readingOrder="0"/>
    </xf>
    <xf borderId="3" fillId="0" fontId="43" numFmtId="0" xfId="0" applyAlignment="1" applyBorder="1" applyFont="1">
      <alignment readingOrder="0"/>
    </xf>
    <xf borderId="0" fillId="0" fontId="159" numFmtId="10" xfId="0" applyAlignment="1" applyFont="1" applyNumberFormat="1">
      <alignment horizontal="right" readingOrder="0"/>
    </xf>
    <xf borderId="0" fillId="0" fontId="159" numFmtId="173"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2" numFmtId="0" xfId="0" applyAlignment="1" applyFont="1">
      <alignment vertical="center"/>
    </xf>
    <xf borderId="0" fillId="0" fontId="162" numFmtId="0" xfId="0" applyAlignment="1" applyFont="1">
      <alignment horizontal="right" vertical="center"/>
    </xf>
    <xf borderId="0" fillId="0" fontId="162" numFmtId="0" xfId="0" applyAlignment="1" applyFont="1">
      <alignment horizontal="center" vertical="center"/>
    </xf>
    <xf borderId="0" fillId="0" fontId="162" numFmtId="0" xfId="0" applyAlignment="1" applyFont="1">
      <alignment horizontal="right" shrinkToFit="0" vertical="center" wrapText="0"/>
    </xf>
    <xf borderId="0" fillId="0" fontId="162" numFmtId="0" xfId="0" applyAlignment="1" applyFont="1">
      <alignment shrinkToFit="0" vertical="center" wrapText="0"/>
    </xf>
    <xf borderId="0" fillId="0" fontId="162" numFmtId="0" xfId="0" applyAlignment="1" applyFont="1">
      <alignment horizontal="center" shrinkToFit="0" vertical="center" wrapText="0"/>
    </xf>
    <xf borderId="0" fillId="0" fontId="163" numFmtId="0" xfId="0" applyAlignment="1" applyFont="1">
      <alignment readingOrder="0" vertical="center"/>
    </xf>
    <xf borderId="0" fillId="0" fontId="2" numFmtId="185" xfId="0" applyAlignment="1" applyFont="1" applyNumberFormat="1">
      <alignment horizontal="center" vertical="center"/>
    </xf>
    <xf borderId="0" fillId="0" fontId="164" numFmtId="0" xfId="0" applyAlignment="1" applyFont="1">
      <alignment vertical="bottom"/>
    </xf>
    <xf borderId="0" fillId="0" fontId="164" numFmtId="0" xfId="0" applyAlignment="1" applyFont="1">
      <alignment horizontal="right" readingOrder="0" vertical="bottom"/>
    </xf>
    <xf borderId="0" fillId="0" fontId="164" numFmtId="0" xfId="0" applyAlignment="1" applyFont="1">
      <alignment readingOrder="0" vertical="bottom"/>
    </xf>
    <xf borderId="0" fillId="0" fontId="164" numFmtId="0" xfId="0" applyAlignment="1" applyFont="1">
      <alignment horizontal="center" readingOrder="0" vertical="bottom"/>
    </xf>
    <xf borderId="0" fillId="0" fontId="165" numFmtId="0" xfId="0" applyAlignment="1" applyFont="1">
      <alignment horizontal="center" readingOrder="0" vertical="bottom"/>
    </xf>
    <xf borderId="0" fillId="0" fontId="164" numFmtId="0" xfId="0" applyAlignment="1" applyFont="1">
      <alignment horizontal="right" readingOrder="0" shrinkToFit="0" vertical="bottom" wrapText="0"/>
    </xf>
    <xf borderId="0" fillId="0" fontId="164" numFmtId="0" xfId="0" applyAlignment="1" applyFont="1">
      <alignment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8" numFmtId="0" xfId="0" applyAlignment="1" applyBorder="1" applyFont="1">
      <alignment vertical="center"/>
    </xf>
    <xf borderId="129" fillId="39" fontId="168" numFmtId="0" xfId="0" applyAlignment="1" applyBorder="1" applyFont="1">
      <alignment horizontal="center" vertical="center"/>
    </xf>
    <xf borderId="129" fillId="39" fontId="168" numFmtId="185" xfId="0" applyAlignment="1" applyBorder="1" applyFont="1" applyNumberFormat="1">
      <alignment horizontal="center" vertical="center"/>
    </xf>
    <xf borderId="129" fillId="50" fontId="168" numFmtId="0" xfId="0" applyAlignment="1" applyBorder="1" applyFont="1">
      <alignment horizontal="center" vertical="center"/>
    </xf>
    <xf borderId="129" fillId="41" fontId="168"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2"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2"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69"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0"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1"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2"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3" numFmtId="0" xfId="0" applyAlignment="1" applyBorder="1" applyFont="1">
      <alignment readingOrder="0" vertical="center"/>
    </xf>
    <xf borderId="18" fillId="55" fontId="2" numFmtId="0" xfId="0" applyAlignment="1" applyBorder="1" applyFont="1">
      <alignment readingOrder="0"/>
    </xf>
    <xf borderId="18" fillId="55" fontId="2" numFmtId="0" xfId="0" applyAlignment="1" applyBorder="1" applyFont="1">
      <alignment readingOrder="0" vertical="center"/>
    </xf>
    <xf borderId="129" fillId="0" fontId="174"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5"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6"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7"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78"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3" xfId="0" applyAlignment="1" applyBorder="1" applyFont="1" applyNumberFormat="1">
      <alignment horizontal="right"/>
    </xf>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3"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3"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3"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3"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79"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0" fillId="8" fontId="180" numFmtId="0" xfId="0" applyAlignment="1" applyFont="1">
      <alignment horizontal="left" readingOrder="0" vertical="bottom"/>
    </xf>
    <xf borderId="0" fillId="8" fontId="181" numFmtId="0" xfId="0" applyAlignment="1" applyFont="1">
      <alignment horizontal="center" readingOrder="0" vertical="bottom"/>
    </xf>
    <xf borderId="0" fillId="0" fontId="182" numFmtId="0" xfId="0" applyAlignment="1" applyFont="1">
      <alignment horizontal="center" readingOrder="0" vertical="bottom"/>
    </xf>
    <xf borderId="0" fillId="0" fontId="99" numFmtId="0" xfId="0" applyAlignment="1" applyFont="1">
      <alignment horizontal="center" readingOrder="0"/>
    </xf>
    <xf borderId="0" fillId="0" fontId="99" numFmtId="10" xfId="0" applyAlignment="1" applyFont="1" applyNumberFormat="1">
      <alignment horizontal="center" readingOrder="0"/>
    </xf>
    <xf borderId="0" fillId="8" fontId="3" numFmtId="0" xfId="0" applyAlignment="1" applyFont="1">
      <alignment vertical="bottom"/>
    </xf>
    <xf borderId="138" fillId="3" fontId="183" numFmtId="0" xfId="0" applyAlignment="1" applyBorder="1" applyFont="1">
      <alignment horizontal="center" readingOrder="0" vertical="bottom"/>
    </xf>
    <xf borderId="207" fillId="0" fontId="4" numFmtId="0" xfId="0" applyBorder="1" applyFont="1"/>
    <xf borderId="138" fillId="8" fontId="183"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84" numFmtId="4" xfId="0" applyAlignment="1" applyBorder="1" applyFont="1" applyNumberFormat="1">
      <alignment horizontal="center" readingOrder="0" vertical="bottom"/>
    </xf>
    <xf borderId="3" fillId="3" fontId="159" numFmtId="0" xfId="0" applyAlignment="1" applyBorder="1" applyFont="1">
      <alignment horizontal="center" readingOrder="0" vertical="center"/>
    </xf>
    <xf borderId="3" fillId="3" fontId="15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4" numFmtId="4" xfId="0" applyAlignment="1" applyBorder="1" applyFont="1" applyNumberFormat="1">
      <alignment horizontal="center" readingOrder="0" vertical="bottom"/>
    </xf>
    <xf borderId="3" fillId="8" fontId="159" numFmtId="3" xfId="0" applyAlignment="1" applyBorder="1" applyFont="1" applyNumberFormat="1">
      <alignment horizontal="center" vertical="center"/>
    </xf>
    <xf borderId="3" fillId="8" fontId="159"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84" numFmtId="4" xfId="0" applyAlignment="1" applyBorder="1" applyFont="1" applyNumberFormat="1">
      <alignment horizontal="center" vertical="bottom"/>
    </xf>
    <xf borderId="3" fillId="7" fontId="184"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8" fillId="0" fontId="182" numFmtId="0" xfId="0" applyAlignment="1" applyBorder="1" applyFont="1">
      <alignment horizontal="center" readingOrder="0" vertical="bottom"/>
    </xf>
    <xf borderId="72" fillId="0" fontId="182" numFmtId="0" xfId="0" applyAlignment="1" applyBorder="1" applyFont="1">
      <alignment horizontal="center" readingOrder="0" vertical="bottom"/>
    </xf>
    <xf borderId="208" fillId="0" fontId="99" numFmtId="0" xfId="0" applyAlignment="1" applyBorder="1" applyFont="1">
      <alignment horizontal="center" readingOrder="0"/>
    </xf>
    <xf borderId="209" fillId="0" fontId="99" numFmtId="0" xfId="0" applyAlignment="1" applyBorder="1" applyFont="1">
      <alignment horizontal="center" readingOrder="0"/>
    </xf>
    <xf borderId="72" fillId="0" fontId="99" numFmtId="0" xfId="0" applyAlignment="1" applyBorder="1" applyFont="1">
      <alignment horizontal="center" readingOrder="0"/>
    </xf>
    <xf borderId="209" fillId="0" fontId="4" numFmtId="0" xfId="0" applyBorder="1" applyFont="1"/>
    <xf borderId="208" fillId="0" fontId="99" numFmtId="10" xfId="0" applyAlignment="1" applyBorder="1" applyFont="1" applyNumberFormat="1">
      <alignment horizontal="center" readingOrder="0"/>
    </xf>
    <xf borderId="5" fillId="3" fontId="184" numFmtId="4" xfId="0" applyAlignment="1" applyBorder="1" applyFont="1" applyNumberFormat="1">
      <alignment horizontal="center" vertical="bottom"/>
    </xf>
    <xf borderId="5" fillId="7" fontId="184" numFmtId="4" xfId="0" applyAlignment="1" applyBorder="1" applyFont="1" applyNumberFormat="1">
      <alignment horizontal="center" vertical="bottom"/>
    </xf>
    <xf borderId="199"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10" xfId="0" applyAlignment="1" applyBorder="1" applyFont="1" applyNumberFormat="1">
      <alignment horizontal="center" readingOrder="0"/>
    </xf>
    <xf borderId="210" fillId="3" fontId="182" numFmtId="0" xfId="0" applyAlignment="1" applyBorder="1" applyFont="1">
      <alignment horizontal="center" vertical="bottom"/>
    </xf>
    <xf borderId="210" fillId="3" fontId="182" numFmtId="49" xfId="0" applyAlignment="1" applyBorder="1" applyFont="1" applyNumberFormat="1">
      <alignment horizontal="center" vertical="bottom"/>
    </xf>
    <xf borderId="210" fillId="3" fontId="182" numFmtId="10" xfId="0" applyAlignment="1" applyBorder="1" applyFont="1" applyNumberFormat="1">
      <alignment horizontal="center" vertical="bottom"/>
    </xf>
    <xf borderId="210" fillId="3" fontId="185" numFmtId="10" xfId="0" applyAlignment="1" applyBorder="1" applyFont="1" applyNumberFormat="1">
      <alignment horizontal="center" vertical="bottom"/>
    </xf>
    <xf borderId="210" fillId="0" fontId="182" numFmtId="0" xfId="0" applyAlignment="1" applyBorder="1" applyFont="1">
      <alignment horizontal="center" vertical="bottom"/>
    </xf>
    <xf borderId="210" fillId="8" fontId="182" numFmtId="49" xfId="0" applyAlignment="1" applyBorder="1" applyFont="1" applyNumberFormat="1">
      <alignment horizontal="center" vertical="bottom"/>
    </xf>
    <xf borderId="210" fillId="8" fontId="182" numFmtId="10" xfId="0" applyAlignment="1" applyBorder="1" applyFont="1" applyNumberFormat="1">
      <alignment horizontal="center" vertical="bottom"/>
    </xf>
    <xf borderId="210" fillId="0" fontId="185" numFmtId="10" xfId="0" applyAlignment="1" applyBorder="1" applyFont="1" applyNumberFormat="1">
      <alignment horizontal="center" vertical="bottom"/>
    </xf>
    <xf borderId="140"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3" fillId="0" fontId="2" numFmtId="10" xfId="0" applyAlignment="1" applyBorder="1" applyFont="1" applyNumberFormat="1">
      <alignment horizontal="center" readingOrder="0"/>
    </xf>
    <xf borderId="3" fillId="0" fontId="2" numFmtId="0" xfId="0" applyAlignment="1" applyBorder="1" applyFont="1">
      <alignment horizontal="center"/>
    </xf>
    <xf borderId="0" fillId="8" fontId="3" numFmtId="0" xfId="0" applyAlignment="1" applyFont="1">
      <alignment horizontal="center" vertical="center"/>
    </xf>
    <xf borderId="0" fillId="8" fontId="25" numFmtId="0" xfId="0" applyAlignment="1" applyFont="1">
      <alignment horizontal="center"/>
    </xf>
    <xf borderId="202" fillId="0" fontId="2" numFmtId="0" xfId="0" applyAlignment="1" applyBorder="1" applyFont="1">
      <alignment horizontal="center" readingOrder="0"/>
    </xf>
    <xf borderId="5" fillId="0" fontId="2" numFmtId="0" xfId="0" applyAlignment="1" applyBorder="1" applyFont="1">
      <alignment horizontal="center" readingOrder="0"/>
    </xf>
    <xf borderId="5" fillId="0" fontId="2" numFmtId="0" xfId="0" applyAlignment="1" applyBorder="1" applyFont="1">
      <alignment horizontal="center"/>
    </xf>
    <xf borderId="5" fillId="0" fontId="2" numFmtId="10" xfId="0" applyAlignment="1" applyBorder="1" applyFont="1" applyNumberFormat="1">
      <alignment horizontal="center" readingOrder="0"/>
    </xf>
    <xf borderId="211" fillId="0" fontId="186" numFmtId="0" xfId="0" applyAlignment="1" applyBorder="1" applyFont="1">
      <alignment horizontal="center" readingOrder="0"/>
    </xf>
    <xf borderId="211" fillId="0" fontId="186" numFmtId="0" xfId="0" applyAlignment="1" applyBorder="1" applyFont="1">
      <alignment horizontal="center"/>
    </xf>
    <xf borderId="211" fillId="0" fontId="186" numFmtId="10" xfId="0" applyAlignment="1" applyBorder="1" applyFont="1" applyNumberFormat="1">
      <alignment horizontal="center" readingOrder="0"/>
    </xf>
    <xf borderId="212" fillId="0" fontId="186" numFmtId="0" xfId="0" applyAlignment="1" applyBorder="1" applyFont="1">
      <alignment horizontal="center"/>
    </xf>
    <xf borderId="0" fillId="8" fontId="3" numFmtId="10" xfId="0" applyAlignment="1" applyFont="1" applyNumberFormat="1">
      <alignment vertical="bottom"/>
    </xf>
    <xf borderId="0" fillId="0" fontId="2" numFmtId="0" xfId="0" applyAlignment="1" applyFont="1">
      <alignment horizontal="center"/>
    </xf>
    <xf borderId="0" fillId="0" fontId="187" numFmtId="0" xfId="0" applyAlignment="1" applyFont="1">
      <alignment horizontal="left" readingOrder="0"/>
    </xf>
    <xf borderId="0" fillId="0" fontId="119" numFmtId="0" xfId="0" applyAlignment="1" applyFont="1">
      <alignment horizontal="left" readingOrder="0"/>
    </xf>
    <xf borderId="0" fillId="0" fontId="2" numFmtId="0" xfId="0" applyAlignment="1" applyFont="1">
      <alignment horizontal="center" readingOrder="0"/>
    </xf>
    <xf borderId="208" fillId="0" fontId="185" numFmtId="0" xfId="0" applyAlignment="1" applyBorder="1" applyFont="1">
      <alignment horizontal="center" vertical="center"/>
    </xf>
    <xf borderId="72" fillId="0" fontId="4" numFmtId="0" xfId="0" applyBorder="1" applyFont="1"/>
    <xf borderId="208" fillId="0" fontId="185" numFmtId="0" xfId="0" applyAlignment="1" applyBorder="1" applyFont="1">
      <alignment horizontal="center" readingOrder="0" vertical="center"/>
    </xf>
    <xf borderId="213" fillId="0" fontId="4" numFmtId="0" xfId="0" applyBorder="1" applyFont="1"/>
    <xf borderId="214" fillId="0" fontId="4" numFmtId="0" xfId="0" applyBorder="1" applyFont="1"/>
    <xf borderId="215"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16" fillId="0" fontId="185" numFmtId="0" xfId="0" applyAlignment="1" applyBorder="1" applyFont="1">
      <alignment horizontal="center" readingOrder="0" vertical="bottom"/>
    </xf>
    <xf borderId="217" fillId="0" fontId="185" numFmtId="0" xfId="0" applyAlignment="1" applyBorder="1" applyFont="1">
      <alignment horizontal="center" vertical="bottom"/>
    </xf>
    <xf borderId="217" fillId="0" fontId="185" numFmtId="0" xfId="0" applyAlignment="1" applyBorder="1" applyFont="1">
      <alignment horizontal="center" readingOrder="0" vertical="bottom"/>
    </xf>
    <xf borderId="186" fillId="0" fontId="185" numFmtId="0" xfId="0" applyAlignment="1" applyBorder="1" applyFont="1">
      <alignment horizontal="center" readingOrder="0" vertical="bottom"/>
    </xf>
    <xf borderId="186" fillId="0" fontId="185" numFmtId="0" xfId="0" applyAlignment="1" applyBorder="1" applyFont="1">
      <alignment horizontal="center" vertical="bottom"/>
    </xf>
    <xf borderId="217" fillId="0" fontId="185" numFmtId="0" xfId="0" applyAlignment="1" applyBorder="1" applyFont="1">
      <alignment horizontal="center" vertical="bottom"/>
    </xf>
    <xf borderId="218" fillId="0" fontId="185" numFmtId="0" xfId="0" applyAlignment="1" applyBorder="1" applyFont="1">
      <alignment horizontal="center" vertical="bottom"/>
    </xf>
    <xf borderId="186" fillId="0" fontId="185" numFmtId="0" xfId="0" applyAlignment="1" applyBorder="1" applyFont="1">
      <alignment horizontal="center" vertical="bottom"/>
    </xf>
    <xf borderId="199" fillId="0" fontId="3" numFmtId="0" xfId="0" applyAlignment="1" applyBorder="1" applyFont="1">
      <alignment horizontal="center"/>
    </xf>
    <xf borderId="219" fillId="0" fontId="3" numFmtId="0" xfId="0" applyAlignment="1" applyBorder="1" applyFont="1">
      <alignment horizontal="center"/>
    </xf>
    <xf borderId="201" fillId="0" fontId="3" numFmtId="0" xfId="0" applyAlignment="1" applyBorder="1" applyFont="1">
      <alignment horizontal="center"/>
    </xf>
    <xf borderId="199" fillId="0" fontId="3" numFmtId="0" xfId="0" applyAlignment="1" applyBorder="1" applyFont="1">
      <alignment horizontal="center"/>
    </xf>
    <xf borderId="219" fillId="0" fontId="3" numFmtId="0" xfId="0" applyAlignment="1" applyBorder="1" applyFont="1">
      <alignment horizontal="center"/>
    </xf>
    <xf borderId="199" fillId="0" fontId="3" numFmtId="10" xfId="0" applyAlignment="1" applyBorder="1" applyFont="1" applyNumberFormat="1">
      <alignment horizontal="center"/>
    </xf>
    <xf borderId="200" fillId="0" fontId="3" numFmtId="0" xfId="0" applyAlignment="1" applyBorder="1" applyFont="1">
      <alignment horizontal="center"/>
    </xf>
    <xf borderId="201" fillId="0" fontId="3" numFmtId="10" xfId="0" applyAlignment="1" applyBorder="1" applyFont="1" applyNumberFormat="1">
      <alignment horizontal="center"/>
    </xf>
    <xf borderId="199" fillId="0" fontId="3" numFmtId="0" xfId="0" applyAlignment="1" applyBorder="1" applyFont="1">
      <alignment horizontal="center" readingOrder="0"/>
    </xf>
    <xf borderId="201" fillId="0" fontId="3" numFmtId="0" xfId="0" applyAlignment="1" applyBorder="1" applyFont="1">
      <alignment horizontal="center"/>
    </xf>
    <xf borderId="140" fillId="0" fontId="3" numFmtId="0" xfId="0" applyAlignment="1" applyBorder="1" applyFont="1">
      <alignment horizontal="center"/>
    </xf>
    <xf borderId="1" fillId="0" fontId="3" numFmtId="0" xfId="0" applyAlignment="1" applyBorder="1" applyFont="1">
      <alignment horizontal="center"/>
    </xf>
    <xf borderId="141" fillId="0" fontId="3" numFmtId="0" xfId="0" applyAlignment="1" applyBorder="1" applyFont="1">
      <alignment horizontal="center"/>
    </xf>
    <xf borderId="140" fillId="0" fontId="3" numFmtId="10" xfId="0" applyAlignment="1" applyBorder="1" applyFont="1" applyNumberFormat="1">
      <alignment horizontal="center"/>
    </xf>
    <xf borderId="3" fillId="0" fontId="3" numFmtId="0" xfId="0" applyAlignment="1" applyBorder="1" applyFont="1">
      <alignment horizontal="center"/>
    </xf>
    <xf borderId="141" fillId="0" fontId="3" numFmtId="10" xfId="0" applyAlignment="1" applyBorder="1" applyFont="1" applyNumberFormat="1">
      <alignment horizontal="center"/>
    </xf>
    <xf borderId="140" fillId="0" fontId="3" numFmtId="0" xfId="0" applyAlignment="1" applyBorder="1" applyFont="1">
      <alignment horizontal="center" readingOrder="0"/>
    </xf>
    <xf borderId="141" fillId="0" fontId="3" numFmtId="0" xfId="0" applyAlignment="1" applyBorder="1" applyFont="1">
      <alignment horizontal="center"/>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xf>
    <xf borderId="1" fillId="0" fontId="3" numFmtId="0" xfId="0" applyAlignment="1" applyBorder="1" applyFont="1">
      <alignment horizontal="center"/>
    </xf>
    <xf borderId="204" fillId="0" fontId="185" numFmtId="0" xfId="0" applyAlignment="1" applyBorder="1" applyFont="1">
      <alignment horizontal="center" readingOrder="0"/>
    </xf>
    <xf borderId="206" fillId="0" fontId="3" numFmtId="0" xfId="0" applyAlignment="1" applyBorder="1" applyFont="1">
      <alignment horizontal="center"/>
    </xf>
    <xf borderId="204" fillId="0" fontId="3" numFmtId="0" xfId="0" applyAlignment="1" applyBorder="1" applyFont="1">
      <alignment horizontal="center"/>
    </xf>
    <xf borderId="220" fillId="0" fontId="3" numFmtId="0" xfId="0" applyAlignment="1" applyBorder="1" applyFont="1">
      <alignment horizontal="center"/>
    </xf>
    <xf borderId="205" fillId="0" fontId="3" numFmtId="0" xfId="0" applyAlignment="1" applyBorder="1" applyFont="1">
      <alignment horizontal="center"/>
    </xf>
    <xf borderId="5" fillId="0" fontId="2" numFmtId="0" xfId="0" applyAlignment="1" applyBorder="1" applyFont="1">
      <alignment horizontal="center" readingOrder="0" shrinkToFit="0" wrapText="1"/>
    </xf>
    <xf borderId="221" fillId="0" fontId="186" numFmtId="0" xfId="0" applyAlignment="1" applyBorder="1" applyFont="1">
      <alignment horizontal="center" readingOrder="0"/>
    </xf>
    <xf borderId="222" fillId="0" fontId="186" numFmtId="0" xfId="0" applyAlignment="1" applyBorder="1" applyFont="1">
      <alignment horizontal="center" readingOrder="0"/>
    </xf>
    <xf borderId="130" fillId="0" fontId="186" numFmtId="0" xfId="0" applyAlignment="1" applyBorder="1" applyFont="1">
      <alignment horizontal="center" readingOrder="0"/>
    </xf>
    <xf borderId="223" fillId="0" fontId="4" numFmtId="0" xfId="0" applyBorder="1" applyFont="1"/>
    <xf borderId="6" fillId="0" fontId="2" numFmtId="0" xfId="0" applyAlignment="1" applyBorder="1" applyFont="1">
      <alignment horizontal="center" vertical="center"/>
    </xf>
    <xf borderId="30" fillId="0" fontId="2" numFmtId="0" xfId="0" applyAlignment="1" applyBorder="1" applyFont="1">
      <alignment horizontal="center" vertical="center"/>
    </xf>
    <xf borderId="3" fillId="0" fontId="2" numFmtId="0" xfId="0" applyAlignment="1" applyBorder="1" applyFont="1">
      <alignment horizontal="left" vertical="center"/>
    </xf>
    <xf borderId="1" fillId="0" fontId="2" numFmtId="0" xfId="0" applyAlignment="1" applyBorder="1" applyFont="1">
      <alignment horizontal="left" vertical="center"/>
    </xf>
    <xf borderId="3" fillId="0" fontId="2" numFmtId="0" xfId="0" applyAlignment="1" applyBorder="1" applyFont="1">
      <alignment horizontal="center" readingOrder="0" vertical="center"/>
    </xf>
    <xf borderId="3" fillId="0" fontId="2" numFmtId="0" xfId="0" applyAlignment="1" applyBorder="1" applyFont="1">
      <alignment horizontal="center" vertical="center"/>
    </xf>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17424231"/>
        <c:axId val="391142617"/>
      </c:lineChart>
      <c:catAx>
        <c:axId val="8174242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91142617"/>
      </c:catAx>
      <c:valAx>
        <c:axId val="3911426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74242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7992005"/>
        <c:axId val="221832806"/>
      </c:lineChart>
      <c:catAx>
        <c:axId val="1897992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1832806"/>
      </c:catAx>
      <c:valAx>
        <c:axId val="2218328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79920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51675114"/>
        <c:axId val="633079650"/>
      </c:lineChart>
      <c:catAx>
        <c:axId val="351675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3079650"/>
      </c:catAx>
      <c:valAx>
        <c:axId val="6330796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16751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17892628"/>
        <c:axId val="1999825327"/>
      </c:barChart>
      <c:catAx>
        <c:axId val="13178926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9825327"/>
      </c:catAx>
      <c:valAx>
        <c:axId val="19998253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78926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4970879"/>
        <c:axId val="1682709144"/>
      </c:lineChart>
      <c:catAx>
        <c:axId val="134970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2709144"/>
      </c:catAx>
      <c:valAx>
        <c:axId val="16827091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9708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92616601"/>
        <c:axId val="1226176571"/>
      </c:barChart>
      <c:catAx>
        <c:axId val="14926166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6176571"/>
      </c:catAx>
      <c:valAx>
        <c:axId val="12261765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6166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22" Type="http://schemas.openxmlformats.org/officeDocument/2006/relationships/drawing" Target="../drawings/drawing1.xm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MzXthfBa-0flJxDQaygOq3ezxavmfl1XoHRmpArro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25mmVRYSnG3ZB8oa0oZVp-vCP2xMkwX-Zqdkk4BI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x-pW3MK9xW1WTFlDUtkMyK80vLnV4HTWZVK9OncZm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MMzXthfBa-0flJxDQaygOq3ezxavmfl1XoHRmpArro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MMzXthfBa-0flJxDQaygOq3ezxavmfl1XoHRmpArro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MzXthfBa-0flJxDQaygOq3ezxavmfl1XoHRmpArro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MMzXthfBa-0flJxDQaygOq3ezxavmfl1XoHRmpArroo/edit" TargetMode="External"/><Relationship Id="rId38" Type="http://schemas.openxmlformats.org/officeDocument/2006/relationships/hyperlink" Target="https://docs.google.com/spreadsheets/d/1vx-pW3MK9xW1WTFlDUtkMyK80vLnV4HTWZVK9OncZm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x-pW3MK9xW1WTFlDUtkMyK80vLnV4HTWZVK9OncZm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MzXthfBa-0flJxDQaygOq3ezxavmfl1XoHRmpArro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MzXthfBa-0flJxDQaygOq3ezxavmfl1XoHRmpArro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x-pW3MK9xW1WTFlDUtkMyK80vLnV4HTWZVK9OncZm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MzXthfBa-0flJxDQaygOq3ezxavmfl1XoHRmpArroo/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MzXthfBa-0flJxDQaygOq3ezxavmfl1XoHRmpArro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x-pW3MK9xW1WTFlDUtkMyK80vLnV4HTWZVK9OncZm4/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MMzXthfBa-0flJxDQaygOq3ezxavmfl1XoHRmpArro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MzXthfBa-0flJxDQaygOq3ezxavmfl1XoHRmpArroo/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vx-pW3MK9xW1WTFlDUtkMyK80vLnV4HTWZVK9OncZm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MzXthfBa-0flJxDQaygOq3ezxavmfl1XoHRmpArroo/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MzXthfBa-0flJxDQaygOq3ezxavmfl1XoHRmpArro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x-pW3MK9xW1WTFlDUtkMyK80vLnV4HTWZVK9OncZm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MzXthfBa-0flJxDQaygOq3ezxavmfl1XoHRmpArro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MzXthfBa-0flJxDQaygOq3ezxavmfl1XoHRmpArro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MzXthfBa-0flJxDQaygOq3ezxavmfl1XoHRmpArro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x-pW3MK9xW1WTFlDUtkMyK80vLnV4HTWZVK9OncZm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MzXthfBa-0flJxDQaygOq3ezxavmfl1XoHRmpArroo/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MzXthfBa-0flJxDQaygOq3ezxavmfl1XoHRmpArro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x-pW3MK9xW1WTFlDUtkMyK80vLnV4HTWZVK9OncZm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MMzXthfBa-0flJxDQaygOq3ezxavmfl1XoHRmpArroo/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MMzXthfBa-0flJxDQaygOq3ezxavmfl1XoHRmpArroo/edit" TargetMode="External"/><Relationship Id="rId98" Type="http://schemas.openxmlformats.org/officeDocument/2006/relationships/hyperlink" Target="https://docs.google.com/spreadsheets/d/1vx-pW3MK9xW1WTFlDUtkMyK80vLnV4HTWZVK9OncZm4/edit" TargetMode="External"/><Relationship Id="rId91" Type="http://schemas.openxmlformats.org/officeDocument/2006/relationships/hyperlink" Target="https://docs.google.com/spreadsheets/d/1MMzXthfBa-0flJxDQaygOq3ezxavmfl1XoHRmpArroo/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25mmVRYSnG3ZB8oa0oZVp-vCP2xMkwX-Zqdkk4BIzI/edit" TargetMode="External"/><Relationship Id="rId106" Type="http://schemas.openxmlformats.org/officeDocument/2006/relationships/hyperlink" Target="https://docs.google.com/spreadsheets/d/1A25mmVRYSnG3ZB8oa0oZVp-vCP2xMkwX-Zqdkk4BIzI/edit" TargetMode="External"/><Relationship Id="rId105" Type="http://schemas.openxmlformats.org/officeDocument/2006/relationships/hyperlink" Target="https://docs.google.com/spreadsheets/d/1A25mmVRYSnG3ZB8oa0oZVp-vCP2xMkwX-Zqdkk4BI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25mmVRYSnG3ZB8oa0oZVp-vCP2xMkwX-Zqdkk4BI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25mmVRYSnG3ZB8oa0oZVp-vCP2xMkwX-Zqdkk4BI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25mmVRYSnG3ZB8oa0oZVp-vCP2xMkwX-Zqdkk4BIz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25mmVRYSnG3ZB8oa0oZVp-vCP2xMkwX-Zqdkk4BIz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25mmVRYSnG3ZB8oa0oZVp-vCP2xMkwX-Zqdkk4BIz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MzXthfBa-0flJxDQaygOq3ezxavmfl1XoHRmpArroo/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25mmVRYSnG3ZB8oa0oZVp-vCP2xMkwX-Zqdkk4BI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25mmVRYSnG3ZB8oa0oZVp-vCP2xMkwX-Zqdkk4BIzI/edit" TargetMode="External"/><Relationship Id="rId117" Type="http://schemas.openxmlformats.org/officeDocument/2006/relationships/hyperlink" Target="https://docs.google.com/spreadsheets/d/1A25mmVRYSnG3ZB8oa0oZVp-vCP2xMkwX-Zqdkk4BIzI/edit" TargetMode="External"/><Relationship Id="rId116" Type="http://schemas.openxmlformats.org/officeDocument/2006/relationships/hyperlink" Target="https://docs.google.com/spreadsheets/d/1A25mmVRYSnG3ZB8oa0oZVp-vCP2xMkwX-Zqdkk4BIzI/edit" TargetMode="External"/><Relationship Id="rId115" Type="http://schemas.openxmlformats.org/officeDocument/2006/relationships/hyperlink" Target="https://docs.google.com/spreadsheets/d/1A25mmVRYSnG3ZB8oa0oZVp-vCP2xMkwX-Zqdkk4BI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25mmVRYSnG3ZB8oa0oZVp-vCP2xMkwX-Zqdkk4BI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25mmVRYSnG3ZB8oa0oZVp-vCP2xMkwX-Zqdkk4BI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25mmVRYSnG3ZB8oa0oZVp-vCP2xMkwX-Zqdkk4BI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25mmVRYSnG3ZB8oa0oZVp-vCP2xMkwX-Zqdkk4BIz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25mmVRYSnG3ZB8oa0oZVp-vCP2xMkwX-Zqdkk4BIz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25mmVRYSnG3ZB8oa0oZVp-vCP2xMkwX-Zqdkk4BIz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drawing" Target="../drawings/drawing20.xm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vmlDrawing" Target="../drawings/vmlDrawing5.vm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IFERROR(__xludf.DUMMYFUNCTION("""COMPUTED_VALUE"""),46111.0)</f>
        <v>46111</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IFERROR(__xludf.DUMMYFUNCTION("""COMPUTED_VALUE"""),"齊藤")</f>
        <v>齊藤</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IFERROR(__xludf.DUMMYFUNCTION("""COMPUTED_VALUE"""),46111.0)</f>
        <v>46111</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IFERROR(__xludf.DUMMYFUNCTION("""COMPUTED_VALUE"""),"齊藤")</f>
        <v>齊藤</v>
      </c>
    </row>
    <row r="8">
      <c r="B8" s="19" t="b">
        <f>IFERROR(__xludf.DUMMYFUNCTION("""COMPUTED_VALUE"""),FALSE)</f>
        <v>0</v>
      </c>
      <c r="C8" s="21" t="str">
        <f>IFERROR(__xludf.DUMMYFUNCTION("""COMPUTED_VALUE"""),"楽天トラベル")</f>
        <v>楽天トラベル</v>
      </c>
      <c r="D8" s="21">
        <f>IFERROR(__xludf.DUMMYFUNCTION("""COMPUTED_VALUE"""),4.0)</f>
        <v>4</v>
      </c>
      <c r="E8" s="22">
        <f>IFERROR(__xludf.DUMMYFUNCTION("""COMPUTED_VALUE"""),46111.0)</f>
        <v>46111</v>
      </c>
      <c r="F8"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 s="21"/>
      <c r="H8" s="21"/>
      <c r="I8"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 s="21" t="str">
        <f>IFERROR(__xludf.DUMMYFUNCTION("""COMPUTED_VALUE"""),"")</f>
        <v/>
      </c>
      <c r="K8" s="21" t="str">
        <f>IFERROR(__xludf.DUMMYFUNCTION("""COMPUTED_VALUE"""),"")</f>
        <v/>
      </c>
      <c r="L8" s="21" t="str">
        <f>IFERROR(__xludf.DUMMYFUNCTION("""COMPUTED_VALUE"""),"僕がキラだ")</f>
        <v>僕がキラだ</v>
      </c>
      <c r="N8" s="23" t="b">
        <f>IFERROR(__xludf.DUMMYFUNCTION("""COMPUTED_VALUE"""),FALSE)</f>
        <v>0</v>
      </c>
      <c r="O8" s="23" t="str">
        <f>IFERROR(__xludf.DUMMYFUNCTION("""COMPUTED_VALUE"""),"楽天トラベル")</f>
        <v>楽天トラベル</v>
      </c>
      <c r="P8" s="23">
        <f>IFERROR(__xludf.DUMMYFUNCTION("""COMPUTED_VALUE"""),4.0)</f>
        <v>4</v>
      </c>
      <c r="Q8" s="25">
        <f>IFERROR(__xludf.DUMMYFUNCTION("""COMPUTED_VALUE"""),46111.0)</f>
        <v>46111</v>
      </c>
      <c r="R8"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8" s="23"/>
      <c r="T8" s="23"/>
      <c r="U8"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8" s="23" t="str">
        <f>IFERROR(__xludf.DUMMYFUNCTION("""COMPUTED_VALUE"""),"")</f>
        <v/>
      </c>
      <c r="W8" s="23" t="str">
        <f>IFERROR(__xludf.DUMMYFUNCTION("""COMPUTED_VALUE"""),"")</f>
        <v/>
      </c>
      <c r="X8" s="23" t="str">
        <f>IFERROR(__xludf.DUMMYFUNCTION("""COMPUTED_VALUE"""),"僕がキラだ")</f>
        <v>僕がキラだ</v>
      </c>
    </row>
    <row r="9">
      <c r="B9" s="19" t="b">
        <f>IFERROR(__xludf.DUMMYFUNCTION("""COMPUTED_VALUE"""),FALSE)</f>
        <v>0</v>
      </c>
      <c r="C9" s="21" t="str">
        <f>IFERROR(__xludf.DUMMYFUNCTION("""COMPUTED_VALUE"""),"楽天トラベル")</f>
        <v>楽天トラベル</v>
      </c>
      <c r="D9" s="21">
        <f>IFERROR(__xludf.DUMMYFUNCTION("""COMPUTED_VALUE"""),5.0)</f>
        <v>5</v>
      </c>
      <c r="E9" s="22">
        <f>IFERROR(__xludf.DUMMYFUNCTION("""COMPUTED_VALUE"""),46111.0)</f>
        <v>46111</v>
      </c>
      <c r="F9"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 s="21"/>
      <c r="H9" s="21"/>
      <c r="I9"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 s="21" t="str">
        <f>IFERROR(__xludf.DUMMYFUNCTION("""COMPUTED_VALUE"""),"")</f>
        <v/>
      </c>
      <c r="K9" s="21" t="str">
        <f>IFERROR(__xludf.DUMMYFUNCTION("""COMPUTED_VALUE"""),"")</f>
        <v/>
      </c>
      <c r="L9" s="21" t="str">
        <f>IFERROR(__xludf.DUMMYFUNCTION("""COMPUTED_VALUE"""),"なおころっし")</f>
        <v>なおころっし</v>
      </c>
      <c r="N9" s="23" t="b">
        <f>IFERROR(__xludf.DUMMYFUNCTION("""COMPUTED_VALUE"""),FALSE)</f>
        <v>0</v>
      </c>
      <c r="O9" s="23" t="str">
        <f>IFERROR(__xludf.DUMMYFUNCTION("""COMPUTED_VALUE"""),"楽天トラベル")</f>
        <v>楽天トラベル</v>
      </c>
      <c r="P9" s="23">
        <f>IFERROR(__xludf.DUMMYFUNCTION("""COMPUTED_VALUE"""),5.0)</f>
        <v>5</v>
      </c>
      <c r="Q9" s="25">
        <f>IFERROR(__xludf.DUMMYFUNCTION("""COMPUTED_VALUE"""),46111.0)</f>
        <v>46111</v>
      </c>
      <c r="R9"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9" s="23"/>
      <c r="T9" s="23"/>
      <c r="U9"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9" s="23" t="str">
        <f>IFERROR(__xludf.DUMMYFUNCTION("""COMPUTED_VALUE"""),"")</f>
        <v/>
      </c>
      <c r="W9" s="23" t="str">
        <f>IFERROR(__xludf.DUMMYFUNCTION("""COMPUTED_VALUE"""),"")</f>
        <v/>
      </c>
      <c r="X9" s="23" t="str">
        <f>IFERROR(__xludf.DUMMYFUNCTION("""COMPUTED_VALUE"""),"なおころっし")</f>
        <v>なおころっし</v>
      </c>
    </row>
    <row r="10">
      <c r="B10" s="19" t="b">
        <f>IFERROR(__xludf.DUMMYFUNCTION("""COMPUTED_VALUE"""),FALSE)</f>
        <v>0</v>
      </c>
      <c r="C10" s="20" t="str">
        <f>IFERROR(__xludf.DUMMYFUNCTION("""COMPUTED_VALUE"""),"Trip.com")</f>
        <v>Trip.com</v>
      </c>
      <c r="D10" s="21">
        <f>IFERROR(__xludf.DUMMYFUNCTION("""COMPUTED_VALUE"""),8.0)</f>
        <v>8</v>
      </c>
      <c r="E10" s="22">
        <f>IFERROR(__xludf.DUMMYFUNCTION("""COMPUTED_VALUE"""),46111.0)</f>
        <v>46111</v>
      </c>
      <c r="F10" s="21" t="str">
        <f>IFERROR(__xludf.DUMMYFUNCTION("""COMPUTED_VALUE"""),"3回目の宿泊でした。 素泊まりで利用しました。")</f>
        <v>3回目の宿泊でした。 素泊まりで利用しました。</v>
      </c>
      <c r="G10" s="21"/>
      <c r="H10" s="21"/>
      <c r="I10" s="21" t="str">
        <f>IFERROR(__xludf.DUMMYFUNCTION("""COMPUTED_VALUE"""),"3回目の宿泊でした。 素泊まりで利用しました。")</f>
        <v>3回目の宿泊でした。 素泊まりで利用しました。</v>
      </c>
      <c r="J10" s="21" t="str">
        <f>IFERROR(__xludf.DUMMYFUNCTION("""COMPUTED_VALUE"""),"")</f>
        <v/>
      </c>
      <c r="K10" s="21" t="str">
        <f>IFERROR(__xludf.DUMMYFUNCTION("""COMPUTED_VALUE"""),"")</f>
        <v/>
      </c>
      <c r="L10" s="21" t="str">
        <f>IFERROR(__xludf.DUMMYFUNCTION("""COMPUTED_VALUE"""),"匿‍名‍ユ‍ー‍ザ‍ー")</f>
        <v>匿‍名‍ユ‍ー‍ザ‍ー</v>
      </c>
      <c r="N10" s="23" t="b">
        <f>IFERROR(__xludf.DUMMYFUNCTION("""COMPUTED_VALUE"""),FALSE)</f>
        <v>0</v>
      </c>
      <c r="O10" s="24" t="str">
        <f>IFERROR(__xludf.DUMMYFUNCTION("""COMPUTED_VALUE"""),"Trip.com")</f>
        <v>Trip.com</v>
      </c>
      <c r="P10" s="23">
        <f>IFERROR(__xludf.DUMMYFUNCTION("""COMPUTED_VALUE"""),8.0)</f>
        <v>8</v>
      </c>
      <c r="Q10" s="25">
        <f>IFERROR(__xludf.DUMMYFUNCTION("""COMPUTED_VALUE"""),46111.0)</f>
        <v>46111</v>
      </c>
      <c r="R10" s="23" t="str">
        <f>IFERROR(__xludf.DUMMYFUNCTION("""COMPUTED_VALUE"""),"3回目の宿泊でした。 素泊まりで利用しました。")</f>
        <v>3回目の宿泊でした。 素泊まりで利用しました。</v>
      </c>
      <c r="S10" s="23"/>
      <c r="T10" s="23"/>
      <c r="U10" s="23" t="str">
        <f>IFERROR(__xludf.DUMMYFUNCTION("""COMPUTED_VALUE"""),"3回目の宿泊でした。 素泊まりで利用しました。")</f>
        <v>3回目の宿泊でした。 素泊まりで利用しました。</v>
      </c>
      <c r="V10" s="23" t="str">
        <f>IFERROR(__xludf.DUMMYFUNCTION("""COMPUTED_VALUE"""),"")</f>
        <v/>
      </c>
      <c r="W10" s="23" t="str">
        <f>IFERROR(__xludf.DUMMYFUNCTION("""COMPUTED_VALUE"""),"")</f>
        <v/>
      </c>
      <c r="X10" s="23" t="str">
        <f>IFERROR(__xludf.DUMMYFUNCTION("""COMPUTED_VALUE"""),"匿‍名‍ユ‍ー‍ザ‍ー")</f>
        <v>匿‍名‍ユ‍ー‍ザ‍ー</v>
      </c>
    </row>
    <row r="11">
      <c r="B11" s="19" t="b">
        <f>IFERROR(__xludf.DUMMYFUNCTION("""COMPUTED_VALUE"""),FALSE)</f>
        <v>0</v>
      </c>
      <c r="C11" s="21" t="str">
        <f>IFERROR(__xludf.DUMMYFUNCTION("""COMPUTED_VALUE"""),"Agoda")</f>
        <v>Agoda</v>
      </c>
      <c r="D11" s="21">
        <f>IFERROR(__xludf.DUMMYFUNCTION("""COMPUTED_VALUE"""),8.0)</f>
        <v>8</v>
      </c>
      <c r="E11" s="22">
        <f>IFERROR(__xludf.DUMMYFUNCTION("""COMPUTED_VALUE"""),46111.0)</f>
        <v>46111</v>
      </c>
      <c r="F11"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1" s="21"/>
      <c r="H11" s="21"/>
      <c r="I11"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1" s="21" t="str">
        <f>IFERROR(__xludf.DUMMYFUNCTION("""COMPUTED_VALUE"""),"")</f>
        <v/>
      </c>
      <c r="K11" s="21" t="str">
        <f>IFERROR(__xludf.DUMMYFUNCTION("""COMPUTED_VALUE"""),"")</f>
        <v/>
      </c>
      <c r="L11" s="21" t="str">
        <f>IFERROR(__xludf.DUMMYFUNCTION("""COMPUTED_VALUE"""),"Takako")</f>
        <v>Takako</v>
      </c>
      <c r="N11" s="23" t="b">
        <f>IFERROR(__xludf.DUMMYFUNCTION("""COMPUTED_VALUE"""),FALSE)</f>
        <v>0</v>
      </c>
      <c r="O11" s="23" t="str">
        <f>IFERROR(__xludf.DUMMYFUNCTION("""COMPUTED_VALUE"""),"Agoda")</f>
        <v>Agoda</v>
      </c>
      <c r="P11" s="23">
        <f>IFERROR(__xludf.DUMMYFUNCTION("""COMPUTED_VALUE"""),8.0)</f>
        <v>8</v>
      </c>
      <c r="Q11" s="25">
        <f>IFERROR(__xludf.DUMMYFUNCTION("""COMPUTED_VALUE"""),46111.0)</f>
        <v>46111</v>
      </c>
      <c r="R11"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 s="23"/>
      <c r="T11" s="23"/>
      <c r="U11"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 s="23" t="str">
        <f>IFERROR(__xludf.DUMMYFUNCTION("""COMPUTED_VALUE"""),"")</f>
        <v/>
      </c>
      <c r="W11" s="23" t="str">
        <f>IFERROR(__xludf.DUMMYFUNCTION("""COMPUTED_VALUE"""),"")</f>
        <v/>
      </c>
      <c r="X11" s="23" t="str">
        <f>IFERROR(__xludf.DUMMYFUNCTION("""COMPUTED_VALUE"""),"Takako")</f>
        <v>Takako</v>
      </c>
    </row>
    <row r="12">
      <c r="B12" s="19" t="b">
        <f>IFERROR(__xludf.DUMMYFUNCTION("""COMPUTED_VALUE"""),FALSE)</f>
        <v>0</v>
      </c>
      <c r="C12" s="20" t="str">
        <f>IFERROR(__xludf.DUMMYFUNCTION("""COMPUTED_VALUE"""),"Booking.com")</f>
        <v>Booking.com</v>
      </c>
      <c r="D12" s="21">
        <f>IFERROR(__xludf.DUMMYFUNCTION("""COMPUTED_VALUE"""),10.0)</f>
        <v>10</v>
      </c>
      <c r="E12" s="22">
        <f>IFERROR(__xludf.DUMMYFUNCTION("""COMPUTED_VALUE"""),46111.0)</f>
        <v>46111</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IFERROR(__xludf.DUMMYFUNCTION("""COMPUTED_VALUE"""),"村上")</f>
        <v>村上</v>
      </c>
      <c r="N12" s="23" t="b">
        <f>IFERROR(__xludf.DUMMYFUNCTION("""COMPUTED_VALUE"""),FALSE)</f>
        <v>0</v>
      </c>
      <c r="O12" s="24" t="str">
        <f>IFERROR(__xludf.DUMMYFUNCTION("""COMPUTED_VALUE"""),"Booking.com")</f>
        <v>Booking.com</v>
      </c>
      <c r="P12" s="23">
        <f>IFERROR(__xludf.DUMMYFUNCTION("""COMPUTED_VALUE"""),10.0)</f>
        <v>10</v>
      </c>
      <c r="Q12" s="25">
        <f>IFERROR(__xludf.DUMMYFUNCTION("""COMPUTED_VALUE"""),46111.0)</f>
        <v>46111</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IFERROR(__xludf.DUMMYFUNCTION("""COMPUTED_VALUE"""),"村上")</f>
        <v>村上</v>
      </c>
    </row>
    <row r="13">
      <c r="B13" s="19" t="b">
        <f>IFERROR(__xludf.DUMMYFUNCTION("""COMPUTED_VALUE"""),FALSE)</f>
        <v>0</v>
      </c>
      <c r="C13" s="20" t="str">
        <f>IFERROR(__xludf.DUMMYFUNCTION("""COMPUTED_VALUE"""),"Booking.com")</f>
        <v>Booking.com</v>
      </c>
      <c r="D13" s="21">
        <f>IFERROR(__xludf.DUMMYFUNCTION("""COMPUTED_VALUE"""),8.0)</f>
        <v>8</v>
      </c>
      <c r="E13" s="22">
        <f>IFERROR(__xludf.DUMMYFUNCTION("""COMPUTED_VALUE"""),46111.0)</f>
        <v>46111</v>
      </c>
      <c r="F13" s="21"/>
      <c r="G13" s="21" t="str">
        <f>IFERROR(__xludf.DUMMYFUNCTION("""COMPUTED_VALUE"""),"Very clean place, good place to stay the night after long day of travel to Japan. Staff was very nice! :)")</f>
        <v>Very clean place, good place to stay the night after long day of travel to Japan. Staff was very nice! :)</v>
      </c>
      <c r="H13" s="21"/>
      <c r="I13" s="21" t="str">
        <f>IFERROR(__xludf.DUMMYFUNCTION("""COMPUTED_VALUE"""),"")</f>
        <v/>
      </c>
      <c r="J13"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13" s="21" t="str">
        <f>IFERROR(__xludf.DUMMYFUNCTION("""COMPUTED_VALUE"""),"")</f>
        <v/>
      </c>
      <c r="L13" s="21" t="str">
        <f>IFERROR(__xludf.DUMMYFUNCTION("""COMPUTED_VALUE"""),"Cedar")</f>
        <v>Cedar</v>
      </c>
      <c r="N13" s="23" t="b">
        <f>IFERROR(__xludf.DUMMYFUNCTION("""COMPUTED_VALUE"""),FALSE)</f>
        <v>0</v>
      </c>
      <c r="O13" s="24" t="str">
        <f>IFERROR(__xludf.DUMMYFUNCTION("""COMPUTED_VALUE"""),"Booking.com")</f>
        <v>Booking.com</v>
      </c>
      <c r="P13" s="23">
        <f>IFERROR(__xludf.DUMMYFUNCTION("""COMPUTED_VALUE"""),8.0)</f>
        <v>8</v>
      </c>
      <c r="Q13" s="25">
        <f>IFERROR(__xludf.DUMMYFUNCTION("""COMPUTED_VALUE"""),46111.0)</f>
        <v>46111</v>
      </c>
      <c r="R13" s="23"/>
      <c r="S13" s="23" t="str">
        <f>IFERROR(__xludf.DUMMYFUNCTION("""COMPUTED_VALUE"""),"Very clean place, good place to stay the night after long day of travel to Japan. Staff was very nice! :)")</f>
        <v>Very clean place, good place to stay the night after long day of travel to Japan. Staff was very nice! :)</v>
      </c>
      <c r="T13" s="23"/>
      <c r="U13" s="23" t="str">
        <f>IFERROR(__xludf.DUMMYFUNCTION("""COMPUTED_VALUE"""),"")</f>
        <v/>
      </c>
      <c r="V13"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3" s="23" t="str">
        <f>IFERROR(__xludf.DUMMYFUNCTION("""COMPUTED_VALUE"""),"")</f>
        <v/>
      </c>
      <c r="X13" s="23" t="str">
        <f>IFERROR(__xludf.DUMMYFUNCTION("""COMPUTED_VALUE"""),"Cedar")</f>
        <v>Cedar</v>
      </c>
    </row>
    <row r="14">
      <c r="B14" s="19" t="b">
        <f>IFERROR(__xludf.DUMMYFUNCTION("""COMPUTED_VALUE"""),FALSE)</f>
        <v>0</v>
      </c>
      <c r="C14" s="20" t="str">
        <f>IFERROR(__xludf.DUMMYFUNCTION("""COMPUTED_VALUE"""),"Booking.com")</f>
        <v>Booking.com</v>
      </c>
      <c r="D14" s="21">
        <f>IFERROR(__xludf.DUMMYFUNCTION("""COMPUTED_VALUE"""),9.0)</f>
        <v>9</v>
      </c>
      <c r="E14" s="22">
        <f>IFERROR(__xludf.DUMMYFUNCTION("""COMPUTED_VALUE"""),46111.0)</f>
        <v>46111</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IFERROR(__xludf.DUMMYFUNCTION("""COMPUTED_VALUE"""),"Yi-ying")</f>
        <v>Yi-ying</v>
      </c>
      <c r="N14" s="23" t="b">
        <f>IFERROR(__xludf.DUMMYFUNCTION("""COMPUTED_VALUE"""),FALSE)</f>
        <v>0</v>
      </c>
      <c r="O14" s="24" t="str">
        <f>IFERROR(__xludf.DUMMYFUNCTION("""COMPUTED_VALUE"""),"Booking.com")</f>
        <v>Booking.com</v>
      </c>
      <c r="P14" s="23">
        <f>IFERROR(__xludf.DUMMYFUNCTION("""COMPUTED_VALUE"""),9.0)</f>
        <v>9</v>
      </c>
      <c r="Q14" s="25">
        <f>IFERROR(__xludf.DUMMYFUNCTION("""COMPUTED_VALUE"""),46111.0)</f>
        <v>46111</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IFERROR(__xludf.DUMMYFUNCTION("""COMPUTED_VALUE"""),"Yi-ying")</f>
        <v>Yi-ying</v>
      </c>
    </row>
    <row r="15">
      <c r="B15" s="19" t="b">
        <f>IFERROR(__xludf.DUMMYFUNCTION("""COMPUTED_VALUE"""),FALSE)</f>
        <v>0</v>
      </c>
      <c r="C15" s="20" t="str">
        <f>IFERROR(__xludf.DUMMYFUNCTION("""COMPUTED_VALUE"""),"Trip.com")</f>
        <v>Trip.com</v>
      </c>
      <c r="D15" s="21">
        <f>IFERROR(__xludf.DUMMYFUNCTION("""COMPUTED_VALUE"""),10.0)</f>
        <v>10</v>
      </c>
      <c r="E15" s="22">
        <f>IFERROR(__xludf.DUMMYFUNCTION("""COMPUTED_VALUE"""),46111.0)</f>
        <v>46111</v>
      </c>
      <c r="F15" s="21" t="str">
        <f>IFERROR(__xludf.DUMMYFUNCTION("""COMPUTED_VALUE"""),"everything is fine, only the location is a bit far from the city center")</f>
        <v>everything is fine, only the location is a bit far from the city center</v>
      </c>
      <c r="G15" s="21"/>
      <c r="H15" s="21"/>
      <c r="I15" s="21" t="str">
        <f>IFERROR(__xludf.DUMMYFUNCTION("""COMPUTED_VALUE"""),"全て問題ないのですが、場所が市内中心部から少し離れているのが難点です。")</f>
        <v>全て問題ないのですが、場所が市内中心部から少し離れているのが難点です。</v>
      </c>
      <c r="J15" s="21" t="str">
        <f>IFERROR(__xludf.DUMMYFUNCTION("""COMPUTED_VALUE"""),"")</f>
        <v/>
      </c>
      <c r="K15" s="21" t="str">
        <f>IFERROR(__xludf.DUMMYFUNCTION("""COMPUTED_VALUE"""),"")</f>
        <v/>
      </c>
      <c r="L15" s="21" t="str">
        <f>IFERROR(__xludf.DUMMYFUNCTION("""COMPUTED_VALUE"""),"ゲ‍ス‍ト")</f>
        <v>ゲ‍ス‍ト</v>
      </c>
      <c r="N15" s="23" t="b">
        <f>IFERROR(__xludf.DUMMYFUNCTION("""COMPUTED_VALUE"""),FALSE)</f>
        <v>0</v>
      </c>
      <c r="O15" s="24" t="str">
        <f>IFERROR(__xludf.DUMMYFUNCTION("""COMPUTED_VALUE"""),"Trip.com")</f>
        <v>Trip.com</v>
      </c>
      <c r="P15" s="23">
        <f>IFERROR(__xludf.DUMMYFUNCTION("""COMPUTED_VALUE"""),10.0)</f>
        <v>10</v>
      </c>
      <c r="Q15" s="25">
        <f>IFERROR(__xludf.DUMMYFUNCTION("""COMPUTED_VALUE"""),46111.0)</f>
        <v>46111</v>
      </c>
      <c r="R15" s="23" t="str">
        <f>IFERROR(__xludf.DUMMYFUNCTION("""COMPUTED_VALUE"""),"everything is fine, only the location is a bit far from the city center")</f>
        <v>everything is fine, only the location is a bit far from the city center</v>
      </c>
      <c r="S15" s="23"/>
      <c r="T15" s="23"/>
      <c r="U15" s="23" t="str">
        <f>IFERROR(__xludf.DUMMYFUNCTION("""COMPUTED_VALUE"""),"全て問題ないのですが、場所が市内中心部から少し離れているのが難点です。")</f>
        <v>全て問題ないのですが、場所が市内中心部から少し離れているのが難点です。</v>
      </c>
      <c r="V15" s="23" t="str">
        <f>IFERROR(__xludf.DUMMYFUNCTION("""COMPUTED_VALUE"""),"")</f>
        <v/>
      </c>
      <c r="W15" s="23" t="str">
        <f>IFERROR(__xludf.DUMMYFUNCTION("""COMPUTED_VALUE"""),"")</f>
        <v/>
      </c>
      <c r="X15" s="23" t="str">
        <f>IFERROR(__xludf.DUMMYFUNCTION("""COMPUTED_VALUE"""),"ゲ‍ス‍ト")</f>
        <v>ゲ‍ス‍ト</v>
      </c>
    </row>
    <row r="16">
      <c r="B16" s="19" t="b">
        <f>IFERROR(__xludf.DUMMYFUNCTION("""COMPUTED_VALUE"""),FALSE)</f>
        <v>0</v>
      </c>
      <c r="C16" s="21" t="str">
        <f>IFERROR(__xludf.DUMMYFUNCTION("""COMPUTED_VALUE"""),"楽天トラベル")</f>
        <v>楽天トラベル</v>
      </c>
      <c r="D16" s="21">
        <f>IFERROR(__xludf.DUMMYFUNCTION("""COMPUTED_VALUE"""),4.0)</f>
        <v>4</v>
      </c>
      <c r="E16" s="22">
        <f>IFERROR(__xludf.DUMMYFUNCTION("""COMPUTED_VALUE"""),46111.0)</f>
        <v>46111</v>
      </c>
      <c r="F16" s="21" t="str">
        <f>IFERROR(__xludf.DUMMYFUNCTION("""COMPUTED_VALUE"""),"はじめての利用でした。 駅から、とても近いのとイオンもあって 便利でした。 ")</f>
        <v>はじめての利用でした。 駅から、とても近いのとイオンもあって 便利でした。 </v>
      </c>
      <c r="G16" s="21"/>
      <c r="H16" s="21"/>
      <c r="I16" s="21" t="str">
        <f>IFERROR(__xludf.DUMMYFUNCTION("""COMPUTED_VALUE"""),"はじめての利用でした。 駅から、とても近いのとイオンもあって 便利でした。 ")</f>
        <v>はじめての利用でした。 駅から、とても近いのとイオンもあって 便利でした。 </v>
      </c>
      <c r="J16" s="21" t="str">
        <f>IFERROR(__xludf.DUMMYFUNCTION("""COMPUTED_VALUE"""),"")</f>
        <v/>
      </c>
      <c r="K16" s="21" t="str">
        <f>IFERROR(__xludf.DUMMYFUNCTION("""COMPUTED_VALUE"""),"")</f>
        <v/>
      </c>
      <c r="L16" s="21" t="str">
        <f>IFERROR(__xludf.DUMMYFUNCTION("""COMPUTED_VALUE"""),"はなはなひまり")</f>
        <v>はなはなひまり</v>
      </c>
      <c r="N16" s="23" t="b">
        <f>IFERROR(__xludf.DUMMYFUNCTION("""COMPUTED_VALUE"""),FALSE)</f>
        <v>0</v>
      </c>
      <c r="O16" s="23" t="str">
        <f>IFERROR(__xludf.DUMMYFUNCTION("""COMPUTED_VALUE"""),"楽天トラベル")</f>
        <v>楽天トラベル</v>
      </c>
      <c r="P16" s="23">
        <f>IFERROR(__xludf.DUMMYFUNCTION("""COMPUTED_VALUE"""),4.0)</f>
        <v>4</v>
      </c>
      <c r="Q16" s="25">
        <f>IFERROR(__xludf.DUMMYFUNCTION("""COMPUTED_VALUE"""),46111.0)</f>
        <v>46111</v>
      </c>
      <c r="R16" s="23" t="str">
        <f>IFERROR(__xludf.DUMMYFUNCTION("""COMPUTED_VALUE"""),"はじめての利用でした。 駅から、とても近いのとイオンもあって 便利でした。 ")</f>
        <v>はじめての利用でした。 駅から、とても近いのとイオンもあって 便利でした。 </v>
      </c>
      <c r="S16" s="23"/>
      <c r="T16" s="23"/>
      <c r="U16" s="23" t="str">
        <f>IFERROR(__xludf.DUMMYFUNCTION("""COMPUTED_VALUE"""),"はじめての利用でした。 駅から、とても近いのとイオンもあって 便利でした。 ")</f>
        <v>はじめての利用でした。 駅から、とても近いのとイオンもあって 便利でした。 </v>
      </c>
      <c r="V16" s="23" t="str">
        <f>IFERROR(__xludf.DUMMYFUNCTION("""COMPUTED_VALUE"""),"")</f>
        <v/>
      </c>
      <c r="W16" s="23" t="str">
        <f>IFERROR(__xludf.DUMMYFUNCTION("""COMPUTED_VALUE"""),"")</f>
        <v/>
      </c>
      <c r="X16" s="23" t="str">
        <f>IFERROR(__xludf.DUMMYFUNCTION("""COMPUTED_VALUE"""),"はなはなひまり")</f>
        <v>はなはなひまり</v>
      </c>
    </row>
    <row r="17">
      <c r="B17" s="19" t="b">
        <f>IFERROR(__xludf.DUMMYFUNCTION("""COMPUTED_VALUE"""),FALSE)</f>
        <v>0</v>
      </c>
      <c r="C17" s="21" t="str">
        <f>IFERROR(__xludf.DUMMYFUNCTION("""COMPUTED_VALUE"""),"楽天トラベル")</f>
        <v>楽天トラベル</v>
      </c>
      <c r="D17" s="21">
        <f>IFERROR(__xludf.DUMMYFUNCTION("""COMPUTED_VALUE"""),4.0)</f>
        <v>4</v>
      </c>
      <c r="E17" s="22">
        <f>IFERROR(__xludf.DUMMYFUNCTION("""COMPUTED_VALUE"""),46111.0)</f>
        <v>46111</v>
      </c>
      <c r="F17"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17" s="21"/>
      <c r="H17" s="21"/>
      <c r="I17"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17" s="21" t="str">
        <f>IFERROR(__xludf.DUMMYFUNCTION("""COMPUTED_VALUE"""),"")</f>
        <v/>
      </c>
      <c r="K17" s="21" t="str">
        <f>IFERROR(__xludf.DUMMYFUNCTION("""COMPUTED_VALUE"""),"")</f>
        <v/>
      </c>
      <c r="L17" s="21" t="str">
        <f>IFERROR(__xludf.DUMMYFUNCTION("""COMPUTED_VALUE"""),"def8")</f>
        <v>def8</v>
      </c>
      <c r="N17" s="23" t="b">
        <f>IFERROR(__xludf.DUMMYFUNCTION("""COMPUTED_VALUE"""),FALSE)</f>
        <v>0</v>
      </c>
      <c r="O17" s="23" t="str">
        <f>IFERROR(__xludf.DUMMYFUNCTION("""COMPUTED_VALUE"""),"楽天トラベル")</f>
        <v>楽天トラベル</v>
      </c>
      <c r="P17" s="23">
        <f>IFERROR(__xludf.DUMMYFUNCTION("""COMPUTED_VALUE"""),4.0)</f>
        <v>4</v>
      </c>
      <c r="Q17" s="25">
        <f>IFERROR(__xludf.DUMMYFUNCTION("""COMPUTED_VALUE"""),46111.0)</f>
        <v>46111</v>
      </c>
      <c r="R17"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7" s="23"/>
      <c r="T17" s="23"/>
      <c r="U17"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7" s="23" t="str">
        <f>IFERROR(__xludf.DUMMYFUNCTION("""COMPUTED_VALUE"""),"")</f>
        <v/>
      </c>
      <c r="W17" s="23" t="str">
        <f>IFERROR(__xludf.DUMMYFUNCTION("""COMPUTED_VALUE"""),"")</f>
        <v/>
      </c>
      <c r="X17" s="23" t="str">
        <f>IFERROR(__xludf.DUMMYFUNCTION("""COMPUTED_VALUE"""),"def8")</f>
        <v>def8</v>
      </c>
    </row>
    <row r="18">
      <c r="B18" s="19" t="b">
        <f>IFERROR(__xludf.DUMMYFUNCTION("""COMPUTED_VALUE"""),FALSE)</f>
        <v>0</v>
      </c>
      <c r="C18" s="20" t="str">
        <f>IFERROR(__xludf.DUMMYFUNCTION("""COMPUTED_VALUE"""),"Booking.com")</f>
        <v>Booking.com</v>
      </c>
      <c r="D18" s="21">
        <f>IFERROR(__xludf.DUMMYFUNCTION("""COMPUTED_VALUE"""),9.0)</f>
        <v>9</v>
      </c>
      <c r="E18" s="22">
        <f>IFERROR(__xludf.DUMMYFUNCTION("""COMPUTED_VALUE"""),46110.0)</f>
        <v>46110</v>
      </c>
      <c r="F18" s="21"/>
      <c r="G18" s="21" t="str">
        <f>IFERROR(__xludf.DUMMYFUNCTION("""COMPUTED_VALUE"""),"La ubicación, limpieza")</f>
        <v>La ubicación, limpieza</v>
      </c>
      <c r="H18" s="21"/>
      <c r="I18" s="21" t="str">
        <f>IFERROR(__xludf.DUMMYFUNCTION("""COMPUTED_VALUE"""),"")</f>
        <v/>
      </c>
      <c r="J18" s="21" t="str">
        <f>IFERROR(__xludf.DUMMYFUNCTION("""COMPUTED_VALUE"""),"立地、清潔さ")</f>
        <v>立地、清潔さ</v>
      </c>
      <c r="K18" s="21" t="str">
        <f>IFERROR(__xludf.DUMMYFUNCTION("""COMPUTED_VALUE"""),"")</f>
        <v/>
      </c>
      <c r="L18" s="21" t="str">
        <f>IFERROR(__xludf.DUMMYFUNCTION("""COMPUTED_VALUE"""),"Pepi")</f>
        <v>Pepi</v>
      </c>
      <c r="N18" s="23" t="b">
        <f>IFERROR(__xludf.DUMMYFUNCTION("""COMPUTED_VALUE"""),FALSE)</f>
        <v>0</v>
      </c>
      <c r="O18" s="24" t="str">
        <f>IFERROR(__xludf.DUMMYFUNCTION("""COMPUTED_VALUE"""),"Booking.com")</f>
        <v>Booking.com</v>
      </c>
      <c r="P18" s="23">
        <f>IFERROR(__xludf.DUMMYFUNCTION("""COMPUTED_VALUE"""),9.0)</f>
        <v>9</v>
      </c>
      <c r="Q18" s="25">
        <f>IFERROR(__xludf.DUMMYFUNCTION("""COMPUTED_VALUE"""),46110.0)</f>
        <v>46110</v>
      </c>
      <c r="R18" s="23"/>
      <c r="S18" s="23" t="str">
        <f>IFERROR(__xludf.DUMMYFUNCTION("""COMPUTED_VALUE"""),"La ubicación, limpieza")</f>
        <v>La ubicación, limpieza</v>
      </c>
      <c r="T18" s="23"/>
      <c r="U18" s="23" t="str">
        <f>IFERROR(__xludf.DUMMYFUNCTION("""COMPUTED_VALUE"""),"")</f>
        <v/>
      </c>
      <c r="V18" s="23" t="str">
        <f>IFERROR(__xludf.DUMMYFUNCTION("""COMPUTED_VALUE"""),"立地、清潔さ")</f>
        <v>立地、清潔さ</v>
      </c>
      <c r="W18" s="23" t="str">
        <f>IFERROR(__xludf.DUMMYFUNCTION("""COMPUTED_VALUE"""),"")</f>
        <v/>
      </c>
      <c r="X18" s="23" t="str">
        <f>IFERROR(__xludf.DUMMYFUNCTION("""COMPUTED_VALUE"""),"Pepi")</f>
        <v>Pepi</v>
      </c>
    </row>
    <row r="19">
      <c r="B19" s="19" t="b">
        <f>IFERROR(__xludf.DUMMYFUNCTION("""COMPUTED_VALUE"""),FALSE)</f>
        <v>0</v>
      </c>
      <c r="C19" s="21" t="str">
        <f>IFERROR(__xludf.DUMMYFUNCTION("""COMPUTED_VALUE"""),"楽天トラベル")</f>
        <v>楽天トラベル</v>
      </c>
      <c r="D19" s="21">
        <f>IFERROR(__xludf.DUMMYFUNCTION("""COMPUTED_VALUE"""),4.0)</f>
        <v>4</v>
      </c>
      <c r="E19" s="22">
        <f>IFERROR(__xludf.DUMMYFUNCTION("""COMPUTED_VALUE"""),46110.0)</f>
        <v>46110</v>
      </c>
      <c r="F1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9" s="21"/>
      <c r="H19" s="21"/>
      <c r="I1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9" s="21" t="str">
        <f>IFERROR(__xludf.DUMMYFUNCTION("""COMPUTED_VALUE"""),"")</f>
        <v/>
      </c>
      <c r="K19" s="21" t="str">
        <f>IFERROR(__xludf.DUMMYFUNCTION("""COMPUTED_VALUE"""),"")</f>
        <v/>
      </c>
      <c r="L19" s="21" t="str">
        <f>IFERROR(__xludf.DUMMYFUNCTION("""COMPUTED_VALUE"""),"おたらさん")</f>
        <v>おたらさん</v>
      </c>
      <c r="N19" s="23" t="b">
        <f>IFERROR(__xludf.DUMMYFUNCTION("""COMPUTED_VALUE"""),FALSE)</f>
        <v>0</v>
      </c>
      <c r="O19" s="23" t="str">
        <f>IFERROR(__xludf.DUMMYFUNCTION("""COMPUTED_VALUE"""),"楽天トラベル")</f>
        <v>楽天トラベル</v>
      </c>
      <c r="P19" s="23">
        <f>IFERROR(__xludf.DUMMYFUNCTION("""COMPUTED_VALUE"""),4.0)</f>
        <v>4</v>
      </c>
      <c r="Q19" s="25">
        <f>IFERROR(__xludf.DUMMYFUNCTION("""COMPUTED_VALUE"""),46110.0)</f>
        <v>46110</v>
      </c>
      <c r="R1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9" s="23"/>
      <c r="T19" s="23"/>
      <c r="U1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9" s="23" t="str">
        <f>IFERROR(__xludf.DUMMYFUNCTION("""COMPUTED_VALUE"""),"")</f>
        <v/>
      </c>
      <c r="W19" s="23" t="str">
        <f>IFERROR(__xludf.DUMMYFUNCTION("""COMPUTED_VALUE"""),"")</f>
        <v/>
      </c>
      <c r="X19" s="23" t="str">
        <f>IFERROR(__xludf.DUMMYFUNCTION("""COMPUTED_VALUE"""),"おたらさん")</f>
        <v>おたらさん</v>
      </c>
    </row>
    <row r="20">
      <c r="B20" s="19" t="b">
        <f>IFERROR(__xludf.DUMMYFUNCTION("""COMPUTED_VALUE"""),FALSE)</f>
        <v>0</v>
      </c>
      <c r="C20" s="21" t="str">
        <f>IFERROR(__xludf.DUMMYFUNCTION("""COMPUTED_VALUE"""),"楽天トラベル")</f>
        <v>楽天トラベル</v>
      </c>
      <c r="D20" s="21">
        <f>IFERROR(__xludf.DUMMYFUNCTION("""COMPUTED_VALUE"""),5.0)</f>
        <v>5</v>
      </c>
      <c r="E20" s="22">
        <f>IFERROR(__xludf.DUMMYFUNCTION("""COMPUTED_VALUE"""),46110.0)</f>
        <v>46110</v>
      </c>
      <c r="F2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20" s="21"/>
      <c r="H20" s="21"/>
      <c r="I2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20" s="21" t="str">
        <f>IFERROR(__xludf.DUMMYFUNCTION("""COMPUTED_VALUE"""),"")</f>
        <v/>
      </c>
      <c r="K20" s="21" t="str">
        <f>IFERROR(__xludf.DUMMYFUNCTION("""COMPUTED_VALUE"""),"")</f>
        <v/>
      </c>
      <c r="L20" s="21" t="str">
        <f>IFERROR(__xludf.DUMMYFUNCTION("""COMPUTED_VALUE"""),"旅行好きななお")</f>
        <v>旅行好きななお</v>
      </c>
      <c r="N20" s="23" t="b">
        <f>IFERROR(__xludf.DUMMYFUNCTION("""COMPUTED_VALUE"""),FALSE)</f>
        <v>0</v>
      </c>
      <c r="O20" s="23" t="str">
        <f>IFERROR(__xludf.DUMMYFUNCTION("""COMPUTED_VALUE"""),"楽天トラベル")</f>
        <v>楽天トラベル</v>
      </c>
      <c r="P20" s="23">
        <f>IFERROR(__xludf.DUMMYFUNCTION("""COMPUTED_VALUE"""),5.0)</f>
        <v>5</v>
      </c>
      <c r="Q20" s="25">
        <f>IFERROR(__xludf.DUMMYFUNCTION("""COMPUTED_VALUE"""),46110.0)</f>
        <v>46110</v>
      </c>
      <c r="R2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20" s="23"/>
      <c r="T20" s="23"/>
      <c r="U2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20" s="23" t="str">
        <f>IFERROR(__xludf.DUMMYFUNCTION("""COMPUTED_VALUE"""),"")</f>
        <v/>
      </c>
      <c r="W20" s="23" t="str">
        <f>IFERROR(__xludf.DUMMYFUNCTION("""COMPUTED_VALUE"""),"")</f>
        <v/>
      </c>
      <c r="X20" s="23" t="str">
        <f>IFERROR(__xludf.DUMMYFUNCTION("""COMPUTED_VALUE"""),"旅行好きななお")</f>
        <v>旅行好きななお</v>
      </c>
    </row>
    <row r="21">
      <c r="B21" s="19" t="b">
        <f>IFERROR(__xludf.DUMMYFUNCTION("""COMPUTED_VALUE"""),FALSE)</f>
        <v>0</v>
      </c>
      <c r="C21" s="21" t="str">
        <f>IFERROR(__xludf.DUMMYFUNCTION("""COMPUTED_VALUE"""),"Google")</f>
        <v>Google</v>
      </c>
      <c r="D21" s="21">
        <f>IFERROR(__xludf.DUMMYFUNCTION("""COMPUTED_VALUE"""),5.0)</f>
        <v>5</v>
      </c>
      <c r="E21" s="22">
        <f>IFERROR(__xludf.DUMMYFUNCTION("""COMPUTED_VALUE"""),46110.0)</f>
        <v>46110</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IFERROR(__xludf.DUMMYFUNCTION("""COMPUTED_VALUE"""),"Gracia Amanda")</f>
        <v>Gracia Amanda</v>
      </c>
      <c r="N21" s="23" t="b">
        <f>IFERROR(__xludf.DUMMYFUNCTION("""COMPUTED_VALUE"""),FALSE)</f>
        <v>0</v>
      </c>
      <c r="O21" s="23" t="str">
        <f>IFERROR(__xludf.DUMMYFUNCTION("""COMPUTED_VALUE"""),"Google")</f>
        <v>Google</v>
      </c>
      <c r="P21" s="23">
        <f>IFERROR(__xludf.DUMMYFUNCTION("""COMPUTED_VALUE"""),5.0)</f>
        <v>5</v>
      </c>
      <c r="Q21" s="25">
        <f>IFERROR(__xludf.DUMMYFUNCTION("""COMPUTED_VALUE"""),46110.0)</f>
        <v>46110</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IFERROR(__xludf.DUMMYFUNCTION("""COMPUTED_VALUE"""),"Gracia Amanda")</f>
        <v>Gracia Amanda</v>
      </c>
    </row>
    <row r="22">
      <c r="B22" s="19" t="b">
        <f>IFERROR(__xludf.DUMMYFUNCTION("""COMPUTED_VALUE"""),FALSE)</f>
        <v>0</v>
      </c>
      <c r="C22" s="21" t="str">
        <f>IFERROR(__xludf.DUMMYFUNCTION("""COMPUTED_VALUE"""),"Google")</f>
        <v>Google</v>
      </c>
      <c r="D22" s="21">
        <f>IFERROR(__xludf.DUMMYFUNCTION("""COMPUTED_VALUE"""),4.0)</f>
        <v>4</v>
      </c>
      <c r="E22" s="22">
        <f>IFERROR(__xludf.DUMMYFUNCTION("""COMPUTED_VALUE"""),46110.0)</f>
        <v>46110</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IFERROR(__xludf.DUMMYFUNCTION("""COMPUTED_VALUE"""),"真砂楓")</f>
        <v>真砂楓</v>
      </c>
      <c r="N22" s="23" t="b">
        <f>IFERROR(__xludf.DUMMYFUNCTION("""COMPUTED_VALUE"""),FALSE)</f>
        <v>0</v>
      </c>
      <c r="O22" s="23" t="str">
        <f>IFERROR(__xludf.DUMMYFUNCTION("""COMPUTED_VALUE"""),"Google")</f>
        <v>Google</v>
      </c>
      <c r="P22" s="23">
        <f>IFERROR(__xludf.DUMMYFUNCTION("""COMPUTED_VALUE"""),4.0)</f>
        <v>4</v>
      </c>
      <c r="Q22" s="25">
        <f>IFERROR(__xludf.DUMMYFUNCTION("""COMPUTED_VALUE"""),46110.0)</f>
        <v>46110</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IFERROR(__xludf.DUMMYFUNCTION("""COMPUTED_VALUE"""),"真砂楓")</f>
        <v>真砂楓</v>
      </c>
    </row>
    <row r="23">
      <c r="B23" s="19" t="b">
        <f>IFERROR(__xludf.DUMMYFUNCTION("""COMPUTED_VALUE"""),FALSE)</f>
        <v>0</v>
      </c>
      <c r="C23" s="20" t="str">
        <f>IFERROR(__xludf.DUMMYFUNCTION("""COMPUTED_VALUE"""),"Booking.com")</f>
        <v>Booking.com</v>
      </c>
      <c r="D23" s="21">
        <f>IFERROR(__xludf.DUMMYFUNCTION("""COMPUTED_VALUE"""),8.0)</f>
        <v>8</v>
      </c>
      <c r="E23" s="22">
        <f>IFERROR(__xludf.DUMMYFUNCTION("""COMPUTED_VALUE"""),46109.0)</f>
        <v>46109</v>
      </c>
      <c r="F23" s="21"/>
      <c r="G23" s="21" t="str">
        <f>IFERROR(__xludf.DUMMYFUNCTION("""COMPUTED_VALUE"""),"Dicht bij treinstation")</f>
        <v>Dicht bij treinstation</v>
      </c>
      <c r="H23" s="21" t="str">
        <f>IFERROR(__xludf.DUMMYFUNCTION("""COMPUTED_VALUE"""),"Het is oké voor 1 nacht als tussenstop")</f>
        <v>Het is oké voor 1 nacht als tussenstop</v>
      </c>
      <c r="I23" s="21" t="str">
        <f>IFERROR(__xludf.DUMMYFUNCTION("""COMPUTED_VALUE"""),"")</f>
        <v/>
      </c>
      <c r="J23" s="21" t="str">
        <f>IFERROR(__xludf.DUMMYFUNCTION("""COMPUTED_VALUE"""),"駅に近い")</f>
        <v>駅に近い</v>
      </c>
      <c r="K23" s="21" t="str">
        <f>IFERROR(__xludf.DUMMYFUNCTION("""COMPUTED_VALUE"""),"一泊の乗り継ぎなら問題ありません。")</f>
        <v>一泊の乗り継ぎなら問題ありません。</v>
      </c>
      <c r="L23" s="21" t="str">
        <f>IFERROR(__xludf.DUMMYFUNCTION("""COMPUTED_VALUE"""),"C")</f>
        <v>C</v>
      </c>
      <c r="N23" s="23" t="b">
        <f>IFERROR(__xludf.DUMMYFUNCTION("""COMPUTED_VALUE"""),FALSE)</f>
        <v>0</v>
      </c>
      <c r="O23" s="24" t="str">
        <f>IFERROR(__xludf.DUMMYFUNCTION("""COMPUTED_VALUE"""),"Booking.com")</f>
        <v>Booking.com</v>
      </c>
      <c r="P23" s="23">
        <f>IFERROR(__xludf.DUMMYFUNCTION("""COMPUTED_VALUE"""),8.0)</f>
        <v>8</v>
      </c>
      <c r="Q23" s="25">
        <f>IFERROR(__xludf.DUMMYFUNCTION("""COMPUTED_VALUE"""),46109.0)</f>
        <v>46109</v>
      </c>
      <c r="R23" s="23"/>
      <c r="S23" s="23" t="str">
        <f>IFERROR(__xludf.DUMMYFUNCTION("""COMPUTED_VALUE"""),"Dicht bij treinstation")</f>
        <v>Dicht bij treinstation</v>
      </c>
      <c r="T23" s="23" t="str">
        <f>IFERROR(__xludf.DUMMYFUNCTION("""COMPUTED_VALUE"""),"Het is oké voor 1 nacht als tussenstop")</f>
        <v>Het is oké voor 1 nacht als tussenstop</v>
      </c>
      <c r="U23" s="23" t="str">
        <f>IFERROR(__xludf.DUMMYFUNCTION("""COMPUTED_VALUE"""),"")</f>
        <v/>
      </c>
      <c r="V23" s="23" t="str">
        <f>IFERROR(__xludf.DUMMYFUNCTION("""COMPUTED_VALUE"""),"駅に近い")</f>
        <v>駅に近い</v>
      </c>
      <c r="W23" s="23" t="str">
        <f>IFERROR(__xludf.DUMMYFUNCTION("""COMPUTED_VALUE"""),"一泊の乗り継ぎなら問題ありません。")</f>
        <v>一泊の乗り継ぎなら問題ありません。</v>
      </c>
      <c r="X23" s="23" t="str">
        <f>IFERROR(__xludf.DUMMYFUNCTION("""COMPUTED_VALUE"""),"C")</f>
        <v>C</v>
      </c>
    </row>
    <row r="24">
      <c r="B24" s="19" t="b">
        <f>IFERROR(__xludf.DUMMYFUNCTION("""COMPUTED_VALUE"""),FALSE)</f>
        <v>0</v>
      </c>
      <c r="C24" s="20" t="str">
        <f>IFERROR(__xludf.DUMMYFUNCTION("""COMPUTED_VALUE"""),"Booking.com")</f>
        <v>Booking.com</v>
      </c>
      <c r="D24" s="21">
        <f>IFERROR(__xludf.DUMMYFUNCTION("""COMPUTED_VALUE"""),7.0)</f>
        <v>7</v>
      </c>
      <c r="E24" s="22">
        <f>IFERROR(__xludf.DUMMYFUNCTION("""COMPUTED_VALUE"""),46109.0)</f>
        <v>46109</v>
      </c>
      <c r="F24" s="21"/>
      <c r="G24" s="21"/>
      <c r="H24" s="21"/>
      <c r="I24" s="21" t="str">
        <f>IFERROR(__xludf.DUMMYFUNCTION("""COMPUTED_VALUE"""),"")</f>
        <v/>
      </c>
      <c r="J24" s="21" t="str">
        <f>IFERROR(__xludf.DUMMYFUNCTION("""COMPUTED_VALUE"""),"")</f>
        <v/>
      </c>
      <c r="K24" s="21" t="str">
        <f>IFERROR(__xludf.DUMMYFUNCTION("""COMPUTED_VALUE"""),"")</f>
        <v/>
      </c>
      <c r="L24" s="21" t="str">
        <f>IFERROR(__xludf.DUMMYFUNCTION("""COMPUTED_VALUE"""),"Miyu")</f>
        <v>Miyu</v>
      </c>
      <c r="N24" s="23" t="b">
        <f>IFERROR(__xludf.DUMMYFUNCTION("""COMPUTED_VALUE"""),FALSE)</f>
        <v>0</v>
      </c>
      <c r="O24" s="24" t="str">
        <f>IFERROR(__xludf.DUMMYFUNCTION("""COMPUTED_VALUE"""),"Booking.com")</f>
        <v>Booking.com</v>
      </c>
      <c r="P24" s="23">
        <f>IFERROR(__xludf.DUMMYFUNCTION("""COMPUTED_VALUE"""),7.0)</f>
        <v>7</v>
      </c>
      <c r="Q24" s="25">
        <f>IFERROR(__xludf.DUMMYFUNCTION("""COMPUTED_VALUE"""),46109.0)</f>
        <v>46109</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IFERROR(__xludf.DUMMYFUNCTION("""COMPUTED_VALUE"""),"Miyu")</f>
        <v>Miyu</v>
      </c>
    </row>
    <row r="25">
      <c r="B25" s="19" t="b">
        <f>IFERROR(__xludf.DUMMYFUNCTION("""COMPUTED_VALUE"""),FALSE)</f>
        <v>0</v>
      </c>
      <c r="C25" s="20" t="str">
        <f>IFERROR(__xludf.DUMMYFUNCTION("""COMPUTED_VALUE"""),"Booking.com")</f>
        <v>Booking.com</v>
      </c>
      <c r="D25" s="21">
        <f>IFERROR(__xludf.DUMMYFUNCTION("""COMPUTED_VALUE"""),10.0)</f>
        <v>10</v>
      </c>
      <c r="E25" s="22">
        <f>IFERROR(__xludf.DUMMYFUNCTION("""COMPUTED_VALUE"""),46109.0)</f>
        <v>46109</v>
      </c>
      <c r="F25" s="21"/>
      <c r="G25"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25" s="21"/>
      <c r="I25" s="21" t="str">
        <f>IFERROR(__xludf.DUMMYFUNCTION("""COMPUTED_VALUE"""),"")</f>
        <v/>
      </c>
      <c r="J25"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25" s="21" t="str">
        <f>IFERROR(__xludf.DUMMYFUNCTION("""COMPUTED_VALUE"""),"")</f>
        <v/>
      </c>
      <c r="L25" s="21" t="str">
        <f>IFERROR(__xludf.DUMMYFUNCTION("""COMPUTED_VALUE"""),"German")</f>
        <v>German</v>
      </c>
      <c r="N25" s="23" t="b">
        <f>IFERROR(__xludf.DUMMYFUNCTION("""COMPUTED_VALUE"""),FALSE)</f>
        <v>0</v>
      </c>
      <c r="O25" s="24" t="str">
        <f>IFERROR(__xludf.DUMMYFUNCTION("""COMPUTED_VALUE"""),"Booking.com")</f>
        <v>Booking.com</v>
      </c>
      <c r="P25" s="23">
        <f>IFERROR(__xludf.DUMMYFUNCTION("""COMPUTED_VALUE"""),10.0)</f>
        <v>10</v>
      </c>
      <c r="Q25" s="25">
        <f>IFERROR(__xludf.DUMMYFUNCTION("""COMPUTED_VALUE"""),46109.0)</f>
        <v>46109</v>
      </c>
      <c r="R25" s="23"/>
      <c r="S25"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25" s="23"/>
      <c r="U25" s="23" t="str">
        <f>IFERROR(__xludf.DUMMYFUNCTION("""COMPUTED_VALUE"""),"")</f>
        <v/>
      </c>
      <c r="V25"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25" s="23" t="str">
        <f>IFERROR(__xludf.DUMMYFUNCTION("""COMPUTED_VALUE"""),"")</f>
        <v/>
      </c>
      <c r="X25" s="23" t="str">
        <f>IFERROR(__xludf.DUMMYFUNCTION("""COMPUTED_VALUE"""),"German")</f>
        <v>German</v>
      </c>
    </row>
    <row r="26">
      <c r="B26" s="19" t="b">
        <f>IFERROR(__xludf.DUMMYFUNCTION("""COMPUTED_VALUE"""),FALSE)</f>
        <v>0</v>
      </c>
      <c r="C26" s="20" t="str">
        <f>IFERROR(__xludf.DUMMYFUNCTION("""COMPUTED_VALUE"""),"Trip.com")</f>
        <v>Trip.com</v>
      </c>
      <c r="D26" s="21">
        <f>IFERROR(__xludf.DUMMYFUNCTION("""COMPUTED_VALUE"""),9.0)</f>
        <v>9</v>
      </c>
      <c r="E26" s="22">
        <f>IFERROR(__xludf.DUMMYFUNCTION("""COMPUTED_VALUE"""),46109.0)</f>
        <v>46109</v>
      </c>
      <c r="F26"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26" s="21"/>
      <c r="H26" s="21"/>
      <c r="I26"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26" s="21" t="str">
        <f>IFERROR(__xludf.DUMMYFUNCTION("""COMPUTED_VALUE"""),"")</f>
        <v/>
      </c>
      <c r="K26" s="21" t="str">
        <f>IFERROR(__xludf.DUMMYFUNCTION("""COMPUTED_VALUE"""),"")</f>
        <v/>
      </c>
      <c r="L26" s="21" t="str">
        <f>IFERROR(__xludf.DUMMYFUNCTION("""COMPUTED_VALUE"""),"ゲ‍ス‍ト")</f>
        <v>ゲ‍ス‍ト</v>
      </c>
      <c r="N26" s="23" t="b">
        <f>IFERROR(__xludf.DUMMYFUNCTION("""COMPUTED_VALUE"""),FALSE)</f>
        <v>0</v>
      </c>
      <c r="O26" s="24" t="str">
        <f>IFERROR(__xludf.DUMMYFUNCTION("""COMPUTED_VALUE"""),"Trip.com")</f>
        <v>Trip.com</v>
      </c>
      <c r="P26" s="23">
        <f>IFERROR(__xludf.DUMMYFUNCTION("""COMPUTED_VALUE"""),9.0)</f>
        <v>9</v>
      </c>
      <c r="Q26" s="25">
        <f>IFERROR(__xludf.DUMMYFUNCTION("""COMPUTED_VALUE"""),46109.0)</f>
        <v>46109</v>
      </c>
      <c r="R26"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26" s="23"/>
      <c r="T26" s="23"/>
      <c r="U26"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26" s="23" t="str">
        <f>IFERROR(__xludf.DUMMYFUNCTION("""COMPUTED_VALUE"""),"")</f>
        <v/>
      </c>
      <c r="W26" s="23" t="str">
        <f>IFERROR(__xludf.DUMMYFUNCTION("""COMPUTED_VALUE"""),"")</f>
        <v/>
      </c>
      <c r="X26" s="23" t="str">
        <f>IFERROR(__xludf.DUMMYFUNCTION("""COMPUTED_VALUE"""),"ゲ‍ス‍ト")</f>
        <v>ゲ‍ス‍ト</v>
      </c>
    </row>
    <row r="27">
      <c r="B27" s="19" t="b">
        <f>IFERROR(__xludf.DUMMYFUNCTION("""COMPUTED_VALUE"""),FALSE)</f>
        <v>0</v>
      </c>
      <c r="C27" s="20" t="str">
        <f>IFERROR(__xludf.DUMMYFUNCTION("""COMPUTED_VALUE"""),"Trip.com")</f>
        <v>Trip.com</v>
      </c>
      <c r="D27" s="21">
        <f>IFERROR(__xludf.DUMMYFUNCTION("""COMPUTED_VALUE"""),10.0)</f>
        <v>10</v>
      </c>
      <c r="E27" s="22">
        <f>IFERROR(__xludf.DUMMYFUNCTION("""COMPUTED_VALUE"""),46109.0)</f>
        <v>46109</v>
      </c>
      <c r="F27" s="21" t="str">
        <f>IFERROR(__xludf.DUMMYFUNCTION("""COMPUTED_VALUE"""),"連續住了三年了，都是選的抽煙房，窗户對着東京港，很美。")</f>
        <v>連續住了三年了，都是選的抽煙房，窗户對着東京港，很美。</v>
      </c>
      <c r="G27" s="21"/>
      <c r="H27" s="21"/>
      <c r="I27"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27" s="21" t="str">
        <f>IFERROR(__xludf.DUMMYFUNCTION("""COMPUTED_VALUE"""),"")</f>
        <v/>
      </c>
      <c r="K27" s="21" t="str">
        <f>IFERROR(__xludf.DUMMYFUNCTION("""COMPUTED_VALUE"""),"")</f>
        <v/>
      </c>
      <c r="L27" s="21" t="str">
        <f>IFERROR(__xludf.DUMMYFUNCTION("""COMPUTED_VALUE"""),"A‍n‍b‍o‍a‍n‍b‍o")</f>
        <v>A‍n‍b‍o‍a‍n‍b‍o</v>
      </c>
      <c r="N27" s="23" t="b">
        <f>IFERROR(__xludf.DUMMYFUNCTION("""COMPUTED_VALUE"""),FALSE)</f>
        <v>0</v>
      </c>
      <c r="O27" s="24" t="str">
        <f>IFERROR(__xludf.DUMMYFUNCTION("""COMPUTED_VALUE"""),"Trip.com")</f>
        <v>Trip.com</v>
      </c>
      <c r="P27" s="23">
        <f>IFERROR(__xludf.DUMMYFUNCTION("""COMPUTED_VALUE"""),10.0)</f>
        <v>10</v>
      </c>
      <c r="Q27" s="25">
        <f>IFERROR(__xludf.DUMMYFUNCTION("""COMPUTED_VALUE"""),46109.0)</f>
        <v>46109</v>
      </c>
      <c r="R27" s="23" t="str">
        <f>IFERROR(__xludf.DUMMYFUNCTION("""COMPUTED_VALUE"""),"連續住了三年了，都是選的抽煙房，窗户對着東京港，很美。")</f>
        <v>連續住了三年了，都是選的抽煙房，窗户對着東京港，很美。</v>
      </c>
      <c r="S27" s="23"/>
      <c r="T27" s="23"/>
      <c r="U27"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27" s="23" t="str">
        <f>IFERROR(__xludf.DUMMYFUNCTION("""COMPUTED_VALUE"""),"")</f>
        <v/>
      </c>
      <c r="W27" s="23" t="str">
        <f>IFERROR(__xludf.DUMMYFUNCTION("""COMPUTED_VALUE"""),"")</f>
        <v/>
      </c>
      <c r="X27" s="23" t="str">
        <f>IFERROR(__xludf.DUMMYFUNCTION("""COMPUTED_VALUE"""),"A‍n‍b‍o‍a‍n‍b‍o")</f>
        <v>A‍n‍b‍o‍a‍n‍b‍o</v>
      </c>
    </row>
    <row r="28">
      <c r="B28" s="19" t="b">
        <f>IFERROR(__xludf.DUMMYFUNCTION("""COMPUTED_VALUE"""),FALSE)</f>
        <v>0</v>
      </c>
      <c r="C28" s="20" t="str">
        <f>IFERROR(__xludf.DUMMYFUNCTION("""COMPUTED_VALUE"""),"Booking.com")</f>
        <v>Booking.com</v>
      </c>
      <c r="D28" s="21">
        <f>IFERROR(__xludf.DUMMYFUNCTION("""COMPUTED_VALUE"""),10.0)</f>
        <v>10</v>
      </c>
      <c r="E28" s="22">
        <f>IFERROR(__xludf.DUMMYFUNCTION("""COMPUTED_VALUE"""),46109.0)</f>
        <v>46109</v>
      </c>
      <c r="F28" s="21"/>
      <c r="G28" s="21" t="str">
        <f>IFERROR(__xludf.DUMMYFUNCTION("""COMPUTED_VALUE"""),"駅から近くて分かりやすかった")</f>
        <v>駅から近くて分かりやすかった</v>
      </c>
      <c r="H28" s="21" t="str">
        <f>IFERROR(__xludf.DUMMYFUNCTION("""COMPUTED_VALUE"""),"コンビニがもっと近くだといいのにな")</f>
        <v>コンビニがもっと近くだといいのにな</v>
      </c>
      <c r="I28" s="21" t="str">
        <f>IFERROR(__xludf.DUMMYFUNCTION("""COMPUTED_VALUE"""),"")</f>
        <v/>
      </c>
      <c r="J28" s="21" t="str">
        <f>IFERROR(__xludf.DUMMYFUNCTION("""COMPUTED_VALUE"""),"駅から近くて分かりやすかった")</f>
        <v>駅から近くて分かりやすかった</v>
      </c>
      <c r="K28" s="21" t="str">
        <f>IFERROR(__xludf.DUMMYFUNCTION("""COMPUTED_VALUE"""),"コンビニがもっと近くだといいのにな")</f>
        <v>コンビニがもっと近くだといいのにな</v>
      </c>
      <c r="L28" s="21" t="str">
        <f>IFERROR(__xludf.DUMMYFUNCTION("""COMPUTED_VALUE"""),"Maki")</f>
        <v>Maki</v>
      </c>
      <c r="N28" s="23" t="b">
        <f>IFERROR(__xludf.DUMMYFUNCTION("""COMPUTED_VALUE"""),FALSE)</f>
        <v>0</v>
      </c>
      <c r="O28" s="24" t="str">
        <f>IFERROR(__xludf.DUMMYFUNCTION("""COMPUTED_VALUE"""),"Booking.com")</f>
        <v>Booking.com</v>
      </c>
      <c r="P28" s="23">
        <f>IFERROR(__xludf.DUMMYFUNCTION("""COMPUTED_VALUE"""),10.0)</f>
        <v>10</v>
      </c>
      <c r="Q28" s="25">
        <f>IFERROR(__xludf.DUMMYFUNCTION("""COMPUTED_VALUE"""),46109.0)</f>
        <v>46109</v>
      </c>
      <c r="R28" s="23"/>
      <c r="S28" s="23" t="str">
        <f>IFERROR(__xludf.DUMMYFUNCTION("""COMPUTED_VALUE"""),"駅から近くて分かりやすかった")</f>
        <v>駅から近くて分かりやすかった</v>
      </c>
      <c r="T28" s="23" t="str">
        <f>IFERROR(__xludf.DUMMYFUNCTION("""COMPUTED_VALUE"""),"コンビニがもっと近くだといいのにな")</f>
        <v>コンビニがもっと近くだといいのにな</v>
      </c>
      <c r="U28" s="23" t="str">
        <f>IFERROR(__xludf.DUMMYFUNCTION("""COMPUTED_VALUE"""),"")</f>
        <v/>
      </c>
      <c r="V28" s="23" t="str">
        <f>IFERROR(__xludf.DUMMYFUNCTION("""COMPUTED_VALUE"""),"駅から近くて分かりやすかった")</f>
        <v>駅から近くて分かりやすかった</v>
      </c>
      <c r="W28" s="23" t="str">
        <f>IFERROR(__xludf.DUMMYFUNCTION("""COMPUTED_VALUE"""),"コンビニがもっと近くだといいのにな")</f>
        <v>コンビニがもっと近くだといいのにな</v>
      </c>
      <c r="X28" s="23" t="str">
        <f>IFERROR(__xludf.DUMMYFUNCTION("""COMPUTED_VALUE"""),"Maki")</f>
        <v>Maki</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IFERROR(__xludf.DUMMYFUNCTION("""COMPUTED_VALUE"""),46109.0)</f>
        <v>46109</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IFERROR(__xludf.DUMMYFUNCTION("""COMPUTED_VALUE"""),"Tomoyoshi")</f>
        <v>Tomoyoshi</v>
      </c>
      <c r="N29" s="23" t="b">
        <f>IFERROR(__xludf.DUMMYFUNCTION("""COMPUTED_VALUE"""),FALSE)</f>
        <v>0</v>
      </c>
      <c r="O29" s="24" t="str">
        <f>IFERROR(__xludf.DUMMYFUNCTION("""COMPUTED_VALUE"""),"Booking.com")</f>
        <v>Booking.com</v>
      </c>
      <c r="P29" s="23">
        <f>IFERROR(__xludf.DUMMYFUNCTION("""COMPUTED_VALUE"""),8.0)</f>
        <v>8</v>
      </c>
      <c r="Q29" s="25">
        <f>IFERROR(__xludf.DUMMYFUNCTION("""COMPUTED_VALUE"""),46109.0)</f>
        <v>46109</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IFERROR(__xludf.DUMMYFUNCTION("""COMPUTED_VALUE"""),"Tomoyoshi")</f>
        <v>Tomoyoshi</v>
      </c>
    </row>
    <row r="30">
      <c r="B30" s="19" t="b">
        <f>IFERROR(__xludf.DUMMYFUNCTION("""COMPUTED_VALUE"""),FALSE)</f>
        <v>0</v>
      </c>
      <c r="C30" s="20" t="str">
        <f>IFERROR(__xludf.DUMMYFUNCTION("""COMPUTED_VALUE"""),"Booking.com")</f>
        <v>Booking.com</v>
      </c>
      <c r="D30" s="21">
        <f>IFERROR(__xludf.DUMMYFUNCTION("""COMPUTED_VALUE"""),8.0)</f>
        <v>8</v>
      </c>
      <c r="E30" s="22">
        <f>IFERROR(__xludf.DUMMYFUNCTION("""COMPUTED_VALUE"""),46109.0)</f>
        <v>46109</v>
      </c>
      <c r="F30" s="21"/>
      <c r="G30"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30" s="21" t="str">
        <f>IFERROR(__xludf.DUMMYFUNCTION("""COMPUTED_VALUE"""),"Un peu bruyant")</f>
        <v>Un peu bruyant</v>
      </c>
      <c r="I30" s="21" t="str">
        <f>IFERROR(__xludf.DUMMYFUNCTION("""COMPUTED_VALUE"""),"")</f>
        <v/>
      </c>
      <c r="J30"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30" s="21" t="str">
        <f>IFERROR(__xludf.DUMMYFUNCTION("""COMPUTED_VALUE"""),"少しうるさい")</f>
        <v>少しうるさい</v>
      </c>
      <c r="L30" s="21" t="str">
        <f>IFERROR(__xludf.DUMMYFUNCTION("""COMPUTED_VALUE"""),"Gil")</f>
        <v>Gil</v>
      </c>
      <c r="N30" s="23" t="b">
        <f>IFERROR(__xludf.DUMMYFUNCTION("""COMPUTED_VALUE"""),FALSE)</f>
        <v>0</v>
      </c>
      <c r="O30" s="24" t="str">
        <f>IFERROR(__xludf.DUMMYFUNCTION("""COMPUTED_VALUE"""),"Booking.com")</f>
        <v>Booking.com</v>
      </c>
      <c r="P30" s="23">
        <f>IFERROR(__xludf.DUMMYFUNCTION("""COMPUTED_VALUE"""),8.0)</f>
        <v>8</v>
      </c>
      <c r="Q30" s="25">
        <f>IFERROR(__xludf.DUMMYFUNCTION("""COMPUTED_VALUE"""),46109.0)</f>
        <v>46109</v>
      </c>
      <c r="R30" s="23"/>
      <c r="S30"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30" s="23" t="str">
        <f>IFERROR(__xludf.DUMMYFUNCTION("""COMPUTED_VALUE"""),"Un peu bruyant")</f>
        <v>Un peu bruyant</v>
      </c>
      <c r="U30" s="23" t="str">
        <f>IFERROR(__xludf.DUMMYFUNCTION("""COMPUTED_VALUE"""),"")</f>
        <v/>
      </c>
      <c r="V30"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30" s="23" t="str">
        <f>IFERROR(__xludf.DUMMYFUNCTION("""COMPUTED_VALUE"""),"少しうるさい")</f>
        <v>少しうるさい</v>
      </c>
      <c r="X30" s="23" t="str">
        <f>IFERROR(__xludf.DUMMYFUNCTION("""COMPUTED_VALUE"""),"Gil")</f>
        <v>Gil</v>
      </c>
    </row>
    <row r="31">
      <c r="B31" s="19" t="b">
        <f>IFERROR(__xludf.DUMMYFUNCTION("""COMPUTED_VALUE"""),FALSE)</f>
        <v>0</v>
      </c>
      <c r="C31" s="20" t="str">
        <f>IFERROR(__xludf.DUMMYFUNCTION("""COMPUTED_VALUE"""),"Booking.com")</f>
        <v>Booking.com</v>
      </c>
      <c r="D31" s="21">
        <f>IFERROR(__xludf.DUMMYFUNCTION("""COMPUTED_VALUE"""),10.0)</f>
        <v>10</v>
      </c>
      <c r="E31" s="22">
        <f>IFERROR(__xludf.DUMMYFUNCTION("""COMPUTED_VALUE"""),46108.0)</f>
        <v>46108</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IFERROR(__xludf.DUMMYFUNCTION("""COMPUTED_VALUE"""),"Toyoharu")</f>
        <v>Toyoharu</v>
      </c>
      <c r="N31" s="23" t="b">
        <f>IFERROR(__xludf.DUMMYFUNCTION("""COMPUTED_VALUE"""),FALSE)</f>
        <v>0</v>
      </c>
      <c r="O31" s="24" t="str">
        <f>IFERROR(__xludf.DUMMYFUNCTION("""COMPUTED_VALUE"""),"Booking.com")</f>
        <v>Booking.com</v>
      </c>
      <c r="P31" s="23">
        <f>IFERROR(__xludf.DUMMYFUNCTION("""COMPUTED_VALUE"""),10.0)</f>
        <v>10</v>
      </c>
      <c r="Q31" s="25">
        <f>IFERROR(__xludf.DUMMYFUNCTION("""COMPUTED_VALUE"""),46108.0)</f>
        <v>46108</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IFERROR(__xludf.DUMMYFUNCTION("""COMPUTED_VALUE"""),"Toyoharu")</f>
        <v>Toyoharu</v>
      </c>
    </row>
    <row r="32">
      <c r="B32" s="19" t="b">
        <f>IFERROR(__xludf.DUMMYFUNCTION("""COMPUTED_VALUE"""),FALSE)</f>
        <v>0</v>
      </c>
      <c r="C32" s="20" t="str">
        <f>IFERROR(__xludf.DUMMYFUNCTION("""COMPUTED_VALUE"""),"Booking.com")</f>
        <v>Booking.com</v>
      </c>
      <c r="D32" s="21">
        <f>IFERROR(__xludf.DUMMYFUNCTION("""COMPUTED_VALUE"""),6.0)</f>
        <v>6</v>
      </c>
      <c r="E32" s="22">
        <f>IFERROR(__xludf.DUMMYFUNCTION("""COMPUTED_VALUE"""),46108.0)</f>
        <v>46108</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IFERROR(__xludf.DUMMYFUNCTION("""COMPUTED_VALUE"""),"Ken")</f>
        <v>Ken</v>
      </c>
      <c r="N32" s="23" t="b">
        <f>IFERROR(__xludf.DUMMYFUNCTION("""COMPUTED_VALUE"""),FALSE)</f>
        <v>0</v>
      </c>
      <c r="O32" s="24" t="str">
        <f>IFERROR(__xludf.DUMMYFUNCTION("""COMPUTED_VALUE"""),"Booking.com")</f>
        <v>Booking.com</v>
      </c>
      <c r="P32" s="23">
        <f>IFERROR(__xludf.DUMMYFUNCTION("""COMPUTED_VALUE"""),6.0)</f>
        <v>6</v>
      </c>
      <c r="Q32" s="25">
        <f>IFERROR(__xludf.DUMMYFUNCTION("""COMPUTED_VALUE"""),46108.0)</f>
        <v>46108</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IFERROR(__xludf.DUMMYFUNCTION("""COMPUTED_VALUE"""),"Ken")</f>
        <v>Ken</v>
      </c>
    </row>
    <row r="33">
      <c r="B33" s="19" t="b">
        <f>IFERROR(__xludf.DUMMYFUNCTION("""COMPUTED_VALUE"""),FALSE)</f>
        <v>0</v>
      </c>
      <c r="C33" s="21" t="str">
        <f>IFERROR(__xludf.DUMMYFUNCTION("""COMPUTED_VALUE"""),"Google")</f>
        <v>Google</v>
      </c>
      <c r="D33" s="21">
        <f>IFERROR(__xludf.DUMMYFUNCTION("""COMPUTED_VALUE"""),3.0)</f>
        <v>3</v>
      </c>
      <c r="E33" s="22">
        <f>IFERROR(__xludf.DUMMYFUNCTION("""COMPUTED_VALUE"""),46108.0)</f>
        <v>46108</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IFERROR(__xludf.DUMMYFUNCTION("""COMPUTED_VALUE"""),"DSファイター")</f>
        <v>DSファイター</v>
      </c>
      <c r="N33" s="23" t="b">
        <f>IFERROR(__xludf.DUMMYFUNCTION("""COMPUTED_VALUE"""),FALSE)</f>
        <v>0</v>
      </c>
      <c r="O33" s="23" t="str">
        <f>IFERROR(__xludf.DUMMYFUNCTION("""COMPUTED_VALUE"""),"Google")</f>
        <v>Google</v>
      </c>
      <c r="P33" s="23">
        <f>IFERROR(__xludf.DUMMYFUNCTION("""COMPUTED_VALUE"""),3.0)</f>
        <v>3</v>
      </c>
      <c r="Q33" s="25">
        <f>IFERROR(__xludf.DUMMYFUNCTION("""COMPUTED_VALUE"""),46108.0)</f>
        <v>46108</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IFERROR(__xludf.DUMMYFUNCTION("""COMPUTED_VALUE"""),"DSファイター")</f>
        <v>DSファイター</v>
      </c>
    </row>
    <row r="34">
      <c r="B34" s="19" t="b">
        <f>IFERROR(__xludf.DUMMYFUNCTION("""COMPUTED_VALUE"""),FALSE)</f>
        <v>0</v>
      </c>
      <c r="C34" s="21" t="str">
        <f>IFERROR(__xludf.DUMMYFUNCTION("""COMPUTED_VALUE"""),"じゃらん")</f>
        <v>じゃらん</v>
      </c>
      <c r="D34" s="21">
        <f>IFERROR(__xludf.DUMMYFUNCTION("""COMPUTED_VALUE"""),4.0)</f>
        <v>4</v>
      </c>
      <c r="E34" s="22">
        <f>IFERROR(__xludf.DUMMYFUNCTION("""COMPUTED_VALUE"""),46108.0)</f>
        <v>46108</v>
      </c>
      <c r="F34"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34" s="21"/>
      <c r="H34" s="21"/>
      <c r="I34"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34" s="21" t="str">
        <f>IFERROR(__xludf.DUMMYFUNCTION("""COMPUTED_VALUE"""),"")</f>
        <v/>
      </c>
      <c r="K34" s="21" t="str">
        <f>IFERROR(__xludf.DUMMYFUNCTION("""COMPUTED_VALUE"""),"")</f>
        <v/>
      </c>
      <c r="L34" s="21" t="str">
        <f>IFERROR(__xludf.DUMMYFUNCTION("""COMPUTED_VALUE"""),"はげともさん")</f>
        <v>はげともさん</v>
      </c>
      <c r="N34" s="23" t="b">
        <f>IFERROR(__xludf.DUMMYFUNCTION("""COMPUTED_VALUE"""),FALSE)</f>
        <v>0</v>
      </c>
      <c r="O34" s="23" t="str">
        <f>IFERROR(__xludf.DUMMYFUNCTION("""COMPUTED_VALUE"""),"じゃらん")</f>
        <v>じゃらん</v>
      </c>
      <c r="P34" s="23">
        <f>IFERROR(__xludf.DUMMYFUNCTION("""COMPUTED_VALUE"""),4.0)</f>
        <v>4</v>
      </c>
      <c r="Q34" s="25">
        <f>IFERROR(__xludf.DUMMYFUNCTION("""COMPUTED_VALUE"""),46108.0)</f>
        <v>46108</v>
      </c>
      <c r="R34"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34" s="23"/>
      <c r="T34" s="23"/>
      <c r="U34"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34" s="23" t="str">
        <f>IFERROR(__xludf.DUMMYFUNCTION("""COMPUTED_VALUE"""),"")</f>
        <v/>
      </c>
      <c r="W34" s="23" t="str">
        <f>IFERROR(__xludf.DUMMYFUNCTION("""COMPUTED_VALUE"""),"")</f>
        <v/>
      </c>
      <c r="X34" s="23" t="str">
        <f>IFERROR(__xludf.DUMMYFUNCTION("""COMPUTED_VALUE"""),"はげともさん")</f>
        <v>はげともさん</v>
      </c>
    </row>
    <row r="35">
      <c r="B35" s="19" t="b">
        <f>IFERROR(__xludf.DUMMYFUNCTION("""COMPUTED_VALUE"""),FALSE)</f>
        <v>0</v>
      </c>
      <c r="C35" s="20" t="str">
        <f>IFERROR(__xludf.DUMMYFUNCTION("""COMPUTED_VALUE"""),"Booking.com")</f>
        <v>Booking.com</v>
      </c>
      <c r="D35" s="21">
        <f>IFERROR(__xludf.DUMMYFUNCTION("""COMPUTED_VALUE"""),9.0)</f>
        <v>9</v>
      </c>
      <c r="E35" s="22">
        <f>IFERROR(__xludf.DUMMYFUNCTION("""COMPUTED_VALUE"""),46108.0)</f>
        <v>46108</v>
      </c>
      <c r="F35" s="21"/>
      <c r="G35"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35" s="21"/>
      <c r="I35" s="21" t="str">
        <f>IFERROR(__xludf.DUMMYFUNCTION("""COMPUTED_VALUE"""),"")</f>
        <v/>
      </c>
      <c r="J35"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35" s="21" t="str">
        <f>IFERROR(__xludf.DUMMYFUNCTION("""COMPUTED_VALUE"""),"")</f>
        <v/>
      </c>
      <c r="L35" s="21" t="str">
        <f>IFERROR(__xludf.DUMMYFUNCTION("""COMPUTED_VALUE"""),"Mo")</f>
        <v>Mo</v>
      </c>
      <c r="N35" s="23" t="b">
        <f>IFERROR(__xludf.DUMMYFUNCTION("""COMPUTED_VALUE"""),FALSE)</f>
        <v>0</v>
      </c>
      <c r="O35" s="24" t="str">
        <f>IFERROR(__xludf.DUMMYFUNCTION("""COMPUTED_VALUE"""),"Booking.com")</f>
        <v>Booking.com</v>
      </c>
      <c r="P35" s="23">
        <f>IFERROR(__xludf.DUMMYFUNCTION("""COMPUTED_VALUE"""),9.0)</f>
        <v>9</v>
      </c>
      <c r="Q35" s="25">
        <f>IFERROR(__xludf.DUMMYFUNCTION("""COMPUTED_VALUE"""),46108.0)</f>
        <v>46108</v>
      </c>
      <c r="R35" s="23"/>
      <c r="S35"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35" s="23"/>
      <c r="U35" s="23" t="str">
        <f>IFERROR(__xludf.DUMMYFUNCTION("""COMPUTED_VALUE"""),"")</f>
        <v/>
      </c>
      <c r="V35"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35" s="23" t="str">
        <f>IFERROR(__xludf.DUMMYFUNCTION("""COMPUTED_VALUE"""),"")</f>
        <v/>
      </c>
      <c r="X35" s="23" t="str">
        <f>IFERROR(__xludf.DUMMYFUNCTION("""COMPUTED_VALUE"""),"Mo")</f>
        <v>Mo</v>
      </c>
    </row>
    <row r="36">
      <c r="B36" s="19" t="b">
        <f>IFERROR(__xludf.DUMMYFUNCTION("""COMPUTED_VALUE"""),FALSE)</f>
        <v>0</v>
      </c>
      <c r="C36" s="20" t="str">
        <f>IFERROR(__xludf.DUMMYFUNCTION("""COMPUTED_VALUE"""),"Booking.com")</f>
        <v>Booking.com</v>
      </c>
      <c r="D36" s="21">
        <f>IFERROR(__xludf.DUMMYFUNCTION("""COMPUTED_VALUE"""),7.0)</f>
        <v>7</v>
      </c>
      <c r="E36" s="22">
        <f>IFERROR(__xludf.DUMMYFUNCTION("""COMPUTED_VALUE"""),46108.0)</f>
        <v>46108</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IFERROR(__xludf.DUMMYFUNCTION("""COMPUTED_VALUE"""),"Clarissa")</f>
        <v>Clarissa</v>
      </c>
      <c r="N36" s="23" t="b">
        <f>IFERROR(__xludf.DUMMYFUNCTION("""COMPUTED_VALUE"""),FALSE)</f>
        <v>0</v>
      </c>
      <c r="O36" s="24" t="str">
        <f>IFERROR(__xludf.DUMMYFUNCTION("""COMPUTED_VALUE"""),"Booking.com")</f>
        <v>Booking.com</v>
      </c>
      <c r="P36" s="23">
        <f>IFERROR(__xludf.DUMMYFUNCTION("""COMPUTED_VALUE"""),7.0)</f>
        <v>7</v>
      </c>
      <c r="Q36" s="25">
        <f>IFERROR(__xludf.DUMMYFUNCTION("""COMPUTED_VALUE"""),46108.0)</f>
        <v>46108</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IFERROR(__xludf.DUMMYFUNCTION("""COMPUTED_VALUE"""),"Clarissa")</f>
        <v>Clarissa</v>
      </c>
    </row>
    <row r="37">
      <c r="B37" s="19" t="b">
        <f>IFERROR(__xludf.DUMMYFUNCTION("""COMPUTED_VALUE"""),FALSE)</f>
        <v>0</v>
      </c>
      <c r="C37" s="21" t="str">
        <f>IFERROR(__xludf.DUMMYFUNCTION("""COMPUTED_VALUE"""),"じゃらん")</f>
        <v>じゃらん</v>
      </c>
      <c r="D37" s="21">
        <f>IFERROR(__xludf.DUMMYFUNCTION("""COMPUTED_VALUE"""),4.0)</f>
        <v>4</v>
      </c>
      <c r="E37" s="22">
        <f>IFERROR(__xludf.DUMMYFUNCTION("""COMPUTED_VALUE"""),46108.0)</f>
        <v>46108</v>
      </c>
      <c r="F37"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37" s="21"/>
      <c r="H37" s="21"/>
      <c r="I37"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37" s="21" t="str">
        <f>IFERROR(__xludf.DUMMYFUNCTION("""COMPUTED_VALUE"""),"")</f>
        <v/>
      </c>
      <c r="K37" s="21" t="str">
        <f>IFERROR(__xludf.DUMMYFUNCTION("""COMPUTED_VALUE"""),"")</f>
        <v/>
      </c>
      <c r="L37" s="21" t="str">
        <f>IFERROR(__xludf.DUMMYFUNCTION("""COMPUTED_VALUE"""),"さっちむさん")</f>
        <v>さっちむさん</v>
      </c>
      <c r="N37" s="23" t="b">
        <f>IFERROR(__xludf.DUMMYFUNCTION("""COMPUTED_VALUE"""),FALSE)</f>
        <v>0</v>
      </c>
      <c r="O37" s="23" t="str">
        <f>IFERROR(__xludf.DUMMYFUNCTION("""COMPUTED_VALUE"""),"じゃらん")</f>
        <v>じゃらん</v>
      </c>
      <c r="P37" s="23">
        <f>IFERROR(__xludf.DUMMYFUNCTION("""COMPUTED_VALUE"""),4.0)</f>
        <v>4</v>
      </c>
      <c r="Q37" s="25">
        <f>IFERROR(__xludf.DUMMYFUNCTION("""COMPUTED_VALUE"""),46108.0)</f>
        <v>46108</v>
      </c>
      <c r="R37"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37" s="23"/>
      <c r="T37" s="23"/>
      <c r="U37"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37" s="23" t="str">
        <f>IFERROR(__xludf.DUMMYFUNCTION("""COMPUTED_VALUE"""),"")</f>
        <v/>
      </c>
      <c r="W37" s="23" t="str">
        <f>IFERROR(__xludf.DUMMYFUNCTION("""COMPUTED_VALUE"""),"")</f>
        <v/>
      </c>
      <c r="X37" s="23" t="str">
        <f>IFERROR(__xludf.DUMMYFUNCTION("""COMPUTED_VALUE"""),"さっちむさん")</f>
        <v>さっちむさん</v>
      </c>
    </row>
    <row r="38">
      <c r="B38" s="19" t="b">
        <f>IFERROR(__xludf.DUMMYFUNCTION("""COMPUTED_VALUE"""),FALSE)</f>
        <v>0</v>
      </c>
      <c r="C38" s="21" t="str">
        <f>IFERROR(__xludf.DUMMYFUNCTION("""COMPUTED_VALUE"""),"じゃらん")</f>
        <v>じゃらん</v>
      </c>
      <c r="D38" s="21">
        <f>IFERROR(__xludf.DUMMYFUNCTION("""COMPUTED_VALUE"""),4.0)</f>
        <v>4</v>
      </c>
      <c r="E38" s="22">
        <f>IFERROR(__xludf.DUMMYFUNCTION("""COMPUTED_VALUE"""),46108.0)</f>
        <v>46108</v>
      </c>
      <c r="F38"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38" s="21"/>
      <c r="H38" s="21"/>
      <c r="I38"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38" s="21" t="str">
        <f>IFERROR(__xludf.DUMMYFUNCTION("""COMPUTED_VALUE"""),"")</f>
        <v/>
      </c>
      <c r="K38" s="21" t="str">
        <f>IFERROR(__xludf.DUMMYFUNCTION("""COMPUTED_VALUE"""),"")</f>
        <v/>
      </c>
      <c r="L38" s="21" t="str">
        <f>IFERROR(__xludf.DUMMYFUNCTION("""COMPUTED_VALUE"""),"パパぱんださん")</f>
        <v>パパぱんださん</v>
      </c>
      <c r="N38" s="23" t="b">
        <f>IFERROR(__xludf.DUMMYFUNCTION("""COMPUTED_VALUE"""),FALSE)</f>
        <v>0</v>
      </c>
      <c r="O38" s="23" t="str">
        <f>IFERROR(__xludf.DUMMYFUNCTION("""COMPUTED_VALUE"""),"じゃらん")</f>
        <v>じゃらん</v>
      </c>
      <c r="P38" s="23">
        <f>IFERROR(__xludf.DUMMYFUNCTION("""COMPUTED_VALUE"""),4.0)</f>
        <v>4</v>
      </c>
      <c r="Q38" s="25">
        <f>IFERROR(__xludf.DUMMYFUNCTION("""COMPUTED_VALUE"""),46108.0)</f>
        <v>46108</v>
      </c>
      <c r="R38"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38" s="23"/>
      <c r="T38" s="23"/>
      <c r="U38"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38" s="23" t="str">
        <f>IFERROR(__xludf.DUMMYFUNCTION("""COMPUTED_VALUE"""),"")</f>
        <v/>
      </c>
      <c r="W38" s="23" t="str">
        <f>IFERROR(__xludf.DUMMYFUNCTION("""COMPUTED_VALUE"""),"")</f>
        <v/>
      </c>
      <c r="X38" s="23" t="str">
        <f>IFERROR(__xludf.DUMMYFUNCTION("""COMPUTED_VALUE"""),"パパぱんださん")</f>
        <v>パパぱんださん</v>
      </c>
    </row>
    <row r="39">
      <c r="B39" s="19" t="b">
        <f>IFERROR(__xludf.DUMMYFUNCTION("""COMPUTED_VALUE"""),FALSE)</f>
        <v>0</v>
      </c>
      <c r="C39" s="21" t="str">
        <f>IFERROR(__xludf.DUMMYFUNCTION("""COMPUTED_VALUE"""),"じゃらん")</f>
        <v>じゃらん</v>
      </c>
      <c r="D39" s="21">
        <f>IFERROR(__xludf.DUMMYFUNCTION("""COMPUTED_VALUE"""),5.0)</f>
        <v>5</v>
      </c>
      <c r="E39" s="22">
        <f>IFERROR(__xludf.DUMMYFUNCTION("""COMPUTED_VALUE"""),46108.0)</f>
        <v>46108</v>
      </c>
      <c r="F39"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39" s="21"/>
      <c r="H39" s="21"/>
      <c r="I39"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39" s="21" t="str">
        <f>IFERROR(__xludf.DUMMYFUNCTION("""COMPUTED_VALUE"""),"")</f>
        <v/>
      </c>
      <c r="K39" s="21" t="str">
        <f>IFERROR(__xludf.DUMMYFUNCTION("""COMPUTED_VALUE"""),"")</f>
        <v/>
      </c>
      <c r="L39" s="21" t="str">
        <f>IFERROR(__xludf.DUMMYFUNCTION("""COMPUTED_VALUE"""),"ユッチさん")</f>
        <v>ユッチさん</v>
      </c>
      <c r="N39" s="23" t="b">
        <f>IFERROR(__xludf.DUMMYFUNCTION("""COMPUTED_VALUE"""),FALSE)</f>
        <v>0</v>
      </c>
      <c r="O39" s="23" t="str">
        <f>IFERROR(__xludf.DUMMYFUNCTION("""COMPUTED_VALUE"""),"じゃらん")</f>
        <v>じゃらん</v>
      </c>
      <c r="P39" s="23">
        <f>IFERROR(__xludf.DUMMYFUNCTION("""COMPUTED_VALUE"""),5.0)</f>
        <v>5</v>
      </c>
      <c r="Q39" s="25">
        <f>IFERROR(__xludf.DUMMYFUNCTION("""COMPUTED_VALUE"""),46108.0)</f>
        <v>46108</v>
      </c>
      <c r="R39"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39" s="23"/>
      <c r="T39" s="23"/>
      <c r="U39"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39" s="23" t="str">
        <f>IFERROR(__xludf.DUMMYFUNCTION("""COMPUTED_VALUE"""),"")</f>
        <v/>
      </c>
      <c r="W39" s="23" t="str">
        <f>IFERROR(__xludf.DUMMYFUNCTION("""COMPUTED_VALUE"""),"")</f>
        <v/>
      </c>
      <c r="X39" s="23" t="str">
        <f>IFERROR(__xludf.DUMMYFUNCTION("""COMPUTED_VALUE"""),"ユッチさん")</f>
        <v>ユッチさん</v>
      </c>
    </row>
    <row r="40">
      <c r="B40" s="19" t="b">
        <f>IFERROR(__xludf.DUMMYFUNCTION("""COMPUTED_VALUE"""),FALSE)</f>
        <v>0</v>
      </c>
      <c r="C40" s="21" t="str">
        <f>IFERROR(__xludf.DUMMYFUNCTION("""COMPUTED_VALUE"""),"Google")</f>
        <v>Google</v>
      </c>
      <c r="D40" s="21">
        <f>IFERROR(__xludf.DUMMYFUNCTION("""COMPUTED_VALUE"""),3.0)</f>
        <v>3</v>
      </c>
      <c r="E40" s="22">
        <f>IFERROR(__xludf.DUMMYFUNCTION("""COMPUTED_VALUE"""),46107.0)</f>
        <v>46107</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IFERROR(__xludf.DUMMYFUNCTION("""COMPUTED_VALUE"""),"K Y")</f>
        <v>K Y</v>
      </c>
      <c r="N40" s="23" t="b">
        <f>IFERROR(__xludf.DUMMYFUNCTION("""COMPUTED_VALUE"""),FALSE)</f>
        <v>0</v>
      </c>
      <c r="O40" s="23" t="str">
        <f>IFERROR(__xludf.DUMMYFUNCTION("""COMPUTED_VALUE"""),"Google")</f>
        <v>Google</v>
      </c>
      <c r="P40" s="23">
        <f>IFERROR(__xludf.DUMMYFUNCTION("""COMPUTED_VALUE"""),3.0)</f>
        <v>3</v>
      </c>
      <c r="Q40" s="25">
        <f>IFERROR(__xludf.DUMMYFUNCTION("""COMPUTED_VALUE"""),46107.0)</f>
        <v>46107</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IFERROR(__xludf.DUMMYFUNCTION("""COMPUTED_VALUE"""),"K Y")</f>
        <v>K Y</v>
      </c>
    </row>
    <row r="41">
      <c r="B41" s="19" t="b">
        <f>IFERROR(__xludf.DUMMYFUNCTION("""COMPUTED_VALUE"""),FALSE)</f>
        <v>0</v>
      </c>
      <c r="C41" s="20" t="str">
        <f>IFERROR(__xludf.DUMMYFUNCTION("""COMPUTED_VALUE"""),"Trip.com")</f>
        <v>Trip.com</v>
      </c>
      <c r="D41" s="21">
        <f>IFERROR(__xludf.DUMMYFUNCTION("""COMPUTED_VALUE"""),10.0)</f>
        <v>10</v>
      </c>
      <c r="E41" s="22">
        <f>IFERROR(__xludf.DUMMYFUNCTION("""COMPUTED_VALUE"""),46107.0)</f>
        <v>46107</v>
      </c>
      <c r="F41" s="21" t="str">
        <f>IFERROR(__xludf.DUMMYFUNCTION("""COMPUTED_VALUE"""),"お風呂も広いし 部屋も綺麗 アクセスもいいし、また利用したいです！")</f>
        <v>お風呂も広いし 部屋も綺麗 アクセスもいいし、また利用したいです！</v>
      </c>
      <c r="G41" s="21"/>
      <c r="H41" s="21"/>
      <c r="I41" s="21" t="str">
        <f>IFERROR(__xludf.DUMMYFUNCTION("""COMPUTED_VALUE"""),"お風呂も広いし 部屋も綺麗 アクセスもいいし、また利用したいです！")</f>
        <v>お風呂も広いし 部屋も綺麗 アクセスもいいし、また利用したいです！</v>
      </c>
      <c r="J41" s="21" t="str">
        <f>IFERROR(__xludf.DUMMYFUNCTION("""COMPUTED_VALUE"""),"")</f>
        <v/>
      </c>
      <c r="K41" s="21" t="str">
        <f>IFERROR(__xludf.DUMMYFUNCTION("""COMPUTED_VALUE"""),"")</f>
        <v/>
      </c>
      <c r="L41" s="21" t="str">
        <f>IFERROR(__xludf.DUMMYFUNCTION("""COMPUTED_VALUE"""),"ゲ‍ス‍ト")</f>
        <v>ゲ‍ス‍ト</v>
      </c>
      <c r="N41" s="23" t="b">
        <f>IFERROR(__xludf.DUMMYFUNCTION("""COMPUTED_VALUE"""),FALSE)</f>
        <v>0</v>
      </c>
      <c r="O41" s="24" t="str">
        <f>IFERROR(__xludf.DUMMYFUNCTION("""COMPUTED_VALUE"""),"Trip.com")</f>
        <v>Trip.com</v>
      </c>
      <c r="P41" s="23">
        <f>IFERROR(__xludf.DUMMYFUNCTION("""COMPUTED_VALUE"""),10.0)</f>
        <v>10</v>
      </c>
      <c r="Q41" s="25">
        <f>IFERROR(__xludf.DUMMYFUNCTION("""COMPUTED_VALUE"""),46107.0)</f>
        <v>46107</v>
      </c>
      <c r="R41" s="23" t="str">
        <f>IFERROR(__xludf.DUMMYFUNCTION("""COMPUTED_VALUE"""),"お風呂も広いし 部屋も綺麗 アクセスもいいし、また利用したいです！")</f>
        <v>お風呂も広いし 部屋も綺麗 アクセスもいいし、また利用したいです！</v>
      </c>
      <c r="S41" s="23"/>
      <c r="T41" s="23"/>
      <c r="U41" s="23" t="str">
        <f>IFERROR(__xludf.DUMMYFUNCTION("""COMPUTED_VALUE"""),"お風呂も広いし 部屋も綺麗 アクセスもいいし、また利用したいです！")</f>
        <v>お風呂も広いし 部屋も綺麗 アクセスもいいし、また利用したいです！</v>
      </c>
      <c r="V41" s="23" t="str">
        <f>IFERROR(__xludf.DUMMYFUNCTION("""COMPUTED_VALUE"""),"")</f>
        <v/>
      </c>
      <c r="W41" s="23" t="str">
        <f>IFERROR(__xludf.DUMMYFUNCTION("""COMPUTED_VALUE"""),"")</f>
        <v/>
      </c>
      <c r="X41" s="23" t="str">
        <f>IFERROR(__xludf.DUMMYFUNCTION("""COMPUTED_VALUE"""),"ゲ‍ス‍ト")</f>
        <v>ゲ‍ス‍ト</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IFERROR(__xludf.DUMMYFUNCTION("""COMPUTED_VALUE"""),46107.0)</f>
        <v>46107</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IFERROR(__xludf.DUMMYFUNCTION("""COMPUTED_VALUE"""),"Sharon")</f>
        <v>Sharon</v>
      </c>
      <c r="N42" s="23" t="b">
        <f>IFERROR(__xludf.DUMMYFUNCTION("""COMPUTED_VALUE"""),FALSE)</f>
        <v>0</v>
      </c>
      <c r="O42" s="24" t="str">
        <f>IFERROR(__xludf.DUMMYFUNCTION("""COMPUTED_VALUE"""),"Booking.com")</f>
        <v>Booking.com</v>
      </c>
      <c r="P42" s="23">
        <f>IFERROR(__xludf.DUMMYFUNCTION("""COMPUTED_VALUE"""),9.0)</f>
        <v>9</v>
      </c>
      <c r="Q42" s="25">
        <f>IFERROR(__xludf.DUMMYFUNCTION("""COMPUTED_VALUE"""),46107.0)</f>
        <v>46107</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IFERROR(__xludf.DUMMYFUNCTION("""COMPUTED_VALUE"""),"Sharon")</f>
        <v>Sharon</v>
      </c>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IFERROR(__xludf.DUMMYFUNCTION("""COMPUTED_VALUE"""),46107.0)</f>
        <v>46107</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IFERROR(__xludf.DUMMYFUNCTION("""COMPUTED_VALUE"""),"Alejandro")</f>
        <v>Alejandro</v>
      </c>
      <c r="N43" s="23" t="b">
        <f>IFERROR(__xludf.DUMMYFUNCTION("""COMPUTED_VALUE"""),FALSE)</f>
        <v>0</v>
      </c>
      <c r="O43" s="24" t="str">
        <f>IFERROR(__xludf.DUMMYFUNCTION("""COMPUTED_VALUE"""),"Booking.com")</f>
        <v>Booking.com</v>
      </c>
      <c r="P43" s="23">
        <f>IFERROR(__xludf.DUMMYFUNCTION("""COMPUTED_VALUE"""),9.0)</f>
        <v>9</v>
      </c>
      <c r="Q43" s="25">
        <f>IFERROR(__xludf.DUMMYFUNCTION("""COMPUTED_VALUE"""),46107.0)</f>
        <v>46107</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IFERROR(__xludf.DUMMYFUNCTION("""COMPUTED_VALUE"""),"Alejandro")</f>
        <v>Alejandro</v>
      </c>
    </row>
    <row r="44">
      <c r="B44" s="19" t="b">
        <f>IFERROR(__xludf.DUMMYFUNCTION("""COMPUTED_VALUE"""),FALSE)</f>
        <v>0</v>
      </c>
      <c r="C44" s="20" t="str">
        <f>IFERROR(__xludf.DUMMYFUNCTION("""COMPUTED_VALUE"""),"Trip.com")</f>
        <v>Trip.com</v>
      </c>
      <c r="D44" s="21">
        <f>IFERROR(__xludf.DUMMYFUNCTION("""COMPUTED_VALUE"""),9.0)</f>
        <v>9</v>
      </c>
      <c r="E44" s="22">
        <f>IFERROR(__xludf.DUMMYFUNCTION("""COMPUTED_VALUE"""),46107.0)</f>
        <v>46107</v>
      </c>
      <c r="F44" s="21" t="str">
        <f>IFERROR(__xludf.DUMMYFUNCTION("""COMPUTED_VALUE"""),"交通非常方便，超市就在隔鄰非常安靜，品川駅至酒店的士1600日元非常便宜。")</f>
        <v>交通非常方便，超市就在隔鄰非常安靜，品川駅至酒店的士1600日元非常便宜。</v>
      </c>
      <c r="G44" s="21"/>
      <c r="H44" s="21"/>
      <c r="I44"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44" s="21" t="str">
        <f>IFERROR(__xludf.DUMMYFUNCTION("""COMPUTED_VALUE"""),"")</f>
        <v/>
      </c>
      <c r="K44" s="21" t="str">
        <f>IFERROR(__xludf.DUMMYFUNCTION("""COMPUTED_VALUE"""),"")</f>
        <v/>
      </c>
      <c r="L44" s="21" t="str">
        <f>IFERROR(__xludf.DUMMYFUNCTION("""COMPUTED_VALUE"""),"ゲ‍ス‍ト")</f>
        <v>ゲ‍ス‍ト</v>
      </c>
      <c r="N44" s="23" t="b">
        <f>IFERROR(__xludf.DUMMYFUNCTION("""COMPUTED_VALUE"""),FALSE)</f>
        <v>0</v>
      </c>
      <c r="O44" s="24" t="str">
        <f>IFERROR(__xludf.DUMMYFUNCTION("""COMPUTED_VALUE"""),"Trip.com")</f>
        <v>Trip.com</v>
      </c>
      <c r="P44" s="23">
        <f>IFERROR(__xludf.DUMMYFUNCTION("""COMPUTED_VALUE"""),9.0)</f>
        <v>9</v>
      </c>
      <c r="Q44" s="25">
        <f>IFERROR(__xludf.DUMMYFUNCTION("""COMPUTED_VALUE"""),46107.0)</f>
        <v>46107</v>
      </c>
      <c r="R44" s="23" t="str">
        <f>IFERROR(__xludf.DUMMYFUNCTION("""COMPUTED_VALUE"""),"交通非常方便，超市就在隔鄰非常安靜，品川駅至酒店的士1600日元非常便宜。")</f>
        <v>交通非常方便，超市就在隔鄰非常安靜，品川駅至酒店的士1600日元非常便宜。</v>
      </c>
      <c r="S44" s="23"/>
      <c r="T44" s="23"/>
      <c r="U44"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44" s="23" t="str">
        <f>IFERROR(__xludf.DUMMYFUNCTION("""COMPUTED_VALUE"""),"")</f>
        <v/>
      </c>
      <c r="W44" s="23" t="str">
        <f>IFERROR(__xludf.DUMMYFUNCTION("""COMPUTED_VALUE"""),"")</f>
        <v/>
      </c>
      <c r="X44" s="23" t="str">
        <f>IFERROR(__xludf.DUMMYFUNCTION("""COMPUTED_VALUE"""),"ゲ‍ス‍ト")</f>
        <v>ゲ‍ス‍ト</v>
      </c>
    </row>
    <row r="45">
      <c r="B45" s="19" t="b">
        <f>IFERROR(__xludf.DUMMYFUNCTION("""COMPUTED_VALUE"""),FALSE)</f>
        <v>0</v>
      </c>
      <c r="C45" s="21" t="str">
        <f>IFERROR(__xludf.DUMMYFUNCTION("""COMPUTED_VALUE"""),"楽天トラベル")</f>
        <v>楽天トラベル</v>
      </c>
      <c r="D45" s="21">
        <f>IFERROR(__xludf.DUMMYFUNCTION("""COMPUTED_VALUE"""),3.0)</f>
        <v>3</v>
      </c>
      <c r="E45" s="22">
        <f>IFERROR(__xludf.DUMMYFUNCTION("""COMPUTED_VALUE"""),46107.0)</f>
        <v>46107</v>
      </c>
      <c r="F45"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45" s="21"/>
      <c r="H45" s="21"/>
      <c r="I45"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45" s="21" t="str">
        <f>IFERROR(__xludf.DUMMYFUNCTION("""COMPUTED_VALUE"""),"")</f>
        <v/>
      </c>
      <c r="K45" s="21" t="str">
        <f>IFERROR(__xludf.DUMMYFUNCTION("""COMPUTED_VALUE"""),"")</f>
        <v/>
      </c>
      <c r="L45" s="21" t="str">
        <f>IFERROR(__xludf.DUMMYFUNCTION("""COMPUTED_VALUE"""),"ＡＲＵＲＵ9316")</f>
        <v>ＡＲＵＲＵ9316</v>
      </c>
      <c r="N45" s="23" t="b">
        <f>IFERROR(__xludf.DUMMYFUNCTION("""COMPUTED_VALUE"""),FALSE)</f>
        <v>0</v>
      </c>
      <c r="O45" s="23" t="str">
        <f>IFERROR(__xludf.DUMMYFUNCTION("""COMPUTED_VALUE"""),"楽天トラベル")</f>
        <v>楽天トラベル</v>
      </c>
      <c r="P45" s="23">
        <f>IFERROR(__xludf.DUMMYFUNCTION("""COMPUTED_VALUE"""),3.0)</f>
        <v>3</v>
      </c>
      <c r="Q45" s="25">
        <f>IFERROR(__xludf.DUMMYFUNCTION("""COMPUTED_VALUE"""),46107.0)</f>
        <v>46107</v>
      </c>
      <c r="R45"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45" s="23"/>
      <c r="T45" s="23"/>
      <c r="U45"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45" s="23" t="str">
        <f>IFERROR(__xludf.DUMMYFUNCTION("""COMPUTED_VALUE"""),"")</f>
        <v/>
      </c>
      <c r="W45" s="23" t="str">
        <f>IFERROR(__xludf.DUMMYFUNCTION("""COMPUTED_VALUE"""),"")</f>
        <v/>
      </c>
      <c r="X45" s="23" t="str">
        <f>IFERROR(__xludf.DUMMYFUNCTION("""COMPUTED_VALUE"""),"ＡＲＵＲＵ9316")</f>
        <v>ＡＲＵＲＵ9316</v>
      </c>
    </row>
    <row r="46">
      <c r="B46" s="19" t="b">
        <f>IFERROR(__xludf.DUMMYFUNCTION("""COMPUTED_VALUE"""),FALSE)</f>
        <v>0</v>
      </c>
      <c r="C46" s="21" t="str">
        <f>IFERROR(__xludf.DUMMYFUNCTION("""COMPUTED_VALUE"""),"じゃらん")</f>
        <v>じゃらん</v>
      </c>
      <c r="D46" s="21">
        <f>IFERROR(__xludf.DUMMYFUNCTION("""COMPUTED_VALUE"""),5.0)</f>
        <v>5</v>
      </c>
      <c r="E46" s="22">
        <f>IFERROR(__xludf.DUMMYFUNCTION("""COMPUTED_VALUE"""),46107.0)</f>
        <v>46107</v>
      </c>
      <c r="F46"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46" s="21"/>
      <c r="H46" s="21"/>
      <c r="I46"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46" s="21" t="str">
        <f>IFERROR(__xludf.DUMMYFUNCTION("""COMPUTED_VALUE"""),"")</f>
        <v/>
      </c>
      <c r="K46" s="21" t="str">
        <f>IFERROR(__xludf.DUMMYFUNCTION("""COMPUTED_VALUE"""),"")</f>
        <v/>
      </c>
      <c r="L46" s="21" t="str">
        <f>IFERROR(__xludf.DUMMYFUNCTION("""COMPUTED_VALUE"""),"ゆうさん")</f>
        <v>ゆうさん</v>
      </c>
      <c r="N46" s="23" t="b">
        <f>IFERROR(__xludf.DUMMYFUNCTION("""COMPUTED_VALUE"""),FALSE)</f>
        <v>0</v>
      </c>
      <c r="O46" s="23" t="str">
        <f>IFERROR(__xludf.DUMMYFUNCTION("""COMPUTED_VALUE"""),"じゃらん")</f>
        <v>じゃらん</v>
      </c>
      <c r="P46" s="23">
        <f>IFERROR(__xludf.DUMMYFUNCTION("""COMPUTED_VALUE"""),5.0)</f>
        <v>5</v>
      </c>
      <c r="Q46" s="25">
        <f>IFERROR(__xludf.DUMMYFUNCTION("""COMPUTED_VALUE"""),46107.0)</f>
        <v>46107</v>
      </c>
      <c r="R46"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46" s="23"/>
      <c r="T46" s="23"/>
      <c r="U46"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46" s="23" t="str">
        <f>IFERROR(__xludf.DUMMYFUNCTION("""COMPUTED_VALUE"""),"")</f>
        <v/>
      </c>
      <c r="W46" s="23" t="str">
        <f>IFERROR(__xludf.DUMMYFUNCTION("""COMPUTED_VALUE"""),"")</f>
        <v/>
      </c>
      <c r="X46" s="23" t="str">
        <f>IFERROR(__xludf.DUMMYFUNCTION("""COMPUTED_VALUE"""),"ゆうさん")</f>
        <v>ゆうさん</v>
      </c>
    </row>
    <row r="47">
      <c r="B47" s="19" t="b">
        <f>IFERROR(__xludf.DUMMYFUNCTION("""COMPUTED_VALUE"""),FALSE)</f>
        <v>0</v>
      </c>
      <c r="C47" s="21" t="str">
        <f>IFERROR(__xludf.DUMMYFUNCTION("""COMPUTED_VALUE"""),"じゃらん")</f>
        <v>じゃらん</v>
      </c>
      <c r="D47" s="21">
        <f>IFERROR(__xludf.DUMMYFUNCTION("""COMPUTED_VALUE"""),5.0)</f>
        <v>5</v>
      </c>
      <c r="E47" s="22">
        <f>IFERROR(__xludf.DUMMYFUNCTION("""COMPUTED_VALUE"""),46107.0)</f>
        <v>46107</v>
      </c>
      <c r="F47"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47" s="21"/>
      <c r="H47" s="21"/>
      <c r="I47"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47" s="21" t="str">
        <f>IFERROR(__xludf.DUMMYFUNCTION("""COMPUTED_VALUE"""),"")</f>
        <v/>
      </c>
      <c r="K47" s="21" t="str">
        <f>IFERROR(__xludf.DUMMYFUNCTION("""COMPUTED_VALUE"""),"")</f>
        <v/>
      </c>
      <c r="L47" s="21" t="str">
        <f>IFERROR(__xludf.DUMMYFUNCTION("""COMPUTED_VALUE"""),"ま〜ちゃんさん")</f>
        <v>ま〜ちゃんさん</v>
      </c>
      <c r="N47" s="23" t="b">
        <f>IFERROR(__xludf.DUMMYFUNCTION("""COMPUTED_VALUE"""),FALSE)</f>
        <v>0</v>
      </c>
      <c r="O47" s="23" t="str">
        <f>IFERROR(__xludf.DUMMYFUNCTION("""COMPUTED_VALUE"""),"じゃらん")</f>
        <v>じゃらん</v>
      </c>
      <c r="P47" s="23">
        <f>IFERROR(__xludf.DUMMYFUNCTION("""COMPUTED_VALUE"""),5.0)</f>
        <v>5</v>
      </c>
      <c r="Q47" s="25">
        <f>IFERROR(__xludf.DUMMYFUNCTION("""COMPUTED_VALUE"""),46107.0)</f>
        <v>46107</v>
      </c>
      <c r="R47"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47" s="23"/>
      <c r="T47" s="23"/>
      <c r="U47"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47" s="23" t="str">
        <f>IFERROR(__xludf.DUMMYFUNCTION("""COMPUTED_VALUE"""),"")</f>
        <v/>
      </c>
      <c r="W47" s="23" t="str">
        <f>IFERROR(__xludf.DUMMYFUNCTION("""COMPUTED_VALUE"""),"")</f>
        <v/>
      </c>
      <c r="X47" s="23" t="str">
        <f>IFERROR(__xludf.DUMMYFUNCTION("""COMPUTED_VALUE"""),"ま〜ちゃんさん")</f>
        <v>ま〜ちゃんさん</v>
      </c>
    </row>
    <row r="48">
      <c r="B48" s="19" t="b">
        <f>IFERROR(__xludf.DUMMYFUNCTION("""COMPUTED_VALUE"""),FALSE)</f>
        <v>0</v>
      </c>
      <c r="C48" s="21" t="str">
        <f>IFERROR(__xludf.DUMMYFUNCTION("""COMPUTED_VALUE"""),"Google")</f>
        <v>Google</v>
      </c>
      <c r="D48" s="21">
        <f>IFERROR(__xludf.DUMMYFUNCTION("""COMPUTED_VALUE"""),4.0)</f>
        <v>4</v>
      </c>
      <c r="E48" s="22">
        <f>IFERROR(__xludf.DUMMYFUNCTION("""COMPUTED_VALUE"""),46106.0)</f>
        <v>46106</v>
      </c>
      <c r="F48"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48" s="21"/>
      <c r="H48" s="21"/>
      <c r="I48"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48" s="21" t="str">
        <f>IFERROR(__xludf.DUMMYFUNCTION("""COMPUTED_VALUE"""),"")</f>
        <v/>
      </c>
      <c r="K48" s="21" t="str">
        <f>IFERROR(__xludf.DUMMYFUNCTION("""COMPUTED_VALUE"""),"")</f>
        <v/>
      </c>
      <c r="L48" s="21" t="str">
        <f>IFERROR(__xludf.DUMMYFUNCTION("""COMPUTED_VALUE"""),"Luca Cuccu")</f>
        <v>Luca Cuccu</v>
      </c>
      <c r="N48" s="23" t="b">
        <f>IFERROR(__xludf.DUMMYFUNCTION("""COMPUTED_VALUE"""),FALSE)</f>
        <v>0</v>
      </c>
      <c r="O48" s="23" t="str">
        <f>IFERROR(__xludf.DUMMYFUNCTION("""COMPUTED_VALUE"""),"Google")</f>
        <v>Google</v>
      </c>
      <c r="P48" s="23">
        <f>IFERROR(__xludf.DUMMYFUNCTION("""COMPUTED_VALUE"""),4.0)</f>
        <v>4</v>
      </c>
      <c r="Q48" s="25">
        <f>IFERROR(__xludf.DUMMYFUNCTION("""COMPUTED_VALUE"""),46106.0)</f>
        <v>46106</v>
      </c>
      <c r="R48"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48" s="23"/>
      <c r="T48" s="23"/>
      <c r="U48"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48" s="23" t="str">
        <f>IFERROR(__xludf.DUMMYFUNCTION("""COMPUTED_VALUE"""),"")</f>
        <v/>
      </c>
      <c r="W48" s="23" t="str">
        <f>IFERROR(__xludf.DUMMYFUNCTION("""COMPUTED_VALUE"""),"")</f>
        <v/>
      </c>
      <c r="X48" s="23" t="str">
        <f>IFERROR(__xludf.DUMMYFUNCTION("""COMPUTED_VALUE"""),"Luca Cuccu")</f>
        <v>Luca Cuccu</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IFERROR(__xludf.DUMMYFUNCTION("""COMPUTED_VALUE"""),46106.0)</f>
        <v>46106</v>
      </c>
      <c r="F49"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49" s="21"/>
      <c r="H49" s="21"/>
      <c r="I49"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49" s="21" t="str">
        <f>IFERROR(__xludf.DUMMYFUNCTION("""COMPUTED_VALUE"""),"")</f>
        <v/>
      </c>
      <c r="K49" s="21" t="str">
        <f>IFERROR(__xludf.DUMMYFUNCTION("""COMPUTED_VALUE"""),"")</f>
        <v/>
      </c>
      <c r="L49" s="21" t="str">
        <f>IFERROR(__xludf.DUMMYFUNCTION("""COMPUTED_VALUE"""),"クマさん")</f>
        <v>クマさん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IFERROR(__xludf.DUMMYFUNCTION("""COMPUTED_VALUE"""),46106.0)</f>
        <v>46106</v>
      </c>
      <c r="R49"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49" s="23"/>
      <c r="T49" s="23"/>
      <c r="U49"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49" s="23" t="str">
        <f>IFERROR(__xludf.DUMMYFUNCTION("""COMPUTED_VALUE"""),"")</f>
        <v/>
      </c>
      <c r="W49" s="23" t="str">
        <f>IFERROR(__xludf.DUMMYFUNCTION("""COMPUTED_VALUE"""),"")</f>
        <v/>
      </c>
      <c r="X49" s="23" t="str">
        <f>IFERROR(__xludf.DUMMYFUNCTION("""COMPUTED_VALUE"""),"クマさん")</f>
        <v>クマさん</v>
      </c>
    </row>
    <row r="50">
      <c r="B50" s="19" t="b">
        <f>IFERROR(__xludf.DUMMYFUNCTION("""COMPUTED_VALUE"""),FALSE)</f>
        <v>0</v>
      </c>
      <c r="C50" s="21" t="str">
        <f>IFERROR(__xludf.DUMMYFUNCTION("""COMPUTED_VALUE"""),"じゃらん")</f>
        <v>じゃらん</v>
      </c>
      <c r="D50" s="21">
        <f>IFERROR(__xludf.DUMMYFUNCTION("""COMPUTED_VALUE"""),5.0)</f>
        <v>5</v>
      </c>
      <c r="E50" s="22">
        <f>IFERROR(__xludf.DUMMYFUNCTION("""COMPUTED_VALUE"""),46106.0)</f>
        <v>46106</v>
      </c>
      <c r="F50"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50" s="21"/>
      <c r="H50" s="21"/>
      <c r="I50"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50" s="21" t="str">
        <f>IFERROR(__xludf.DUMMYFUNCTION("""COMPUTED_VALUE"""),"")</f>
        <v/>
      </c>
      <c r="K50" s="21" t="str">
        <f>IFERROR(__xludf.DUMMYFUNCTION("""COMPUTED_VALUE"""),"")</f>
        <v/>
      </c>
      <c r="L50" s="21" t="str">
        <f>IFERROR(__xludf.DUMMYFUNCTION("""COMPUTED_VALUE"""),"みゆさん")</f>
        <v>みゆさん</v>
      </c>
      <c r="N50" s="23" t="b">
        <f>IFERROR(__xludf.DUMMYFUNCTION("""COMPUTED_VALUE"""),FALSE)</f>
        <v>0</v>
      </c>
      <c r="O50" s="23" t="str">
        <f>IFERROR(__xludf.DUMMYFUNCTION("""COMPUTED_VALUE"""),"じゃらん")</f>
        <v>じゃらん</v>
      </c>
      <c r="P50" s="23">
        <f>IFERROR(__xludf.DUMMYFUNCTION("""COMPUTED_VALUE"""),5.0)</f>
        <v>5</v>
      </c>
      <c r="Q50" s="25">
        <f>IFERROR(__xludf.DUMMYFUNCTION("""COMPUTED_VALUE"""),46106.0)</f>
        <v>46106</v>
      </c>
      <c r="R50"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50" s="23"/>
      <c r="T50" s="23"/>
      <c r="U50"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50" s="23" t="str">
        <f>IFERROR(__xludf.DUMMYFUNCTION("""COMPUTED_VALUE"""),"")</f>
        <v/>
      </c>
      <c r="W50" s="23" t="str">
        <f>IFERROR(__xludf.DUMMYFUNCTION("""COMPUTED_VALUE"""),"")</f>
        <v/>
      </c>
      <c r="X50" s="23" t="str">
        <f>IFERROR(__xludf.DUMMYFUNCTION("""COMPUTED_VALUE"""),"みゆさん")</f>
        <v>みゆさん</v>
      </c>
    </row>
    <row r="51">
      <c r="B51" s="19" t="b">
        <f>IFERROR(__xludf.DUMMYFUNCTION("""COMPUTED_VALUE"""),FALSE)</f>
        <v>0</v>
      </c>
      <c r="C51" s="21" t="str">
        <f>IFERROR(__xludf.DUMMYFUNCTION("""COMPUTED_VALUE"""),"Google")</f>
        <v>Google</v>
      </c>
      <c r="D51" s="21">
        <f>IFERROR(__xludf.DUMMYFUNCTION("""COMPUTED_VALUE"""),1.0)</f>
        <v>1</v>
      </c>
      <c r="E51" s="22">
        <f>IFERROR(__xludf.DUMMYFUNCTION("""COMPUTED_VALUE"""),46106.0)</f>
        <v>46106</v>
      </c>
      <c r="F51"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51" s="21"/>
      <c r="H51" s="21"/>
      <c r="I51"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51" s="21" t="str">
        <f>IFERROR(__xludf.DUMMYFUNCTION("""COMPUTED_VALUE"""),"")</f>
        <v/>
      </c>
      <c r="K51" s="21" t="str">
        <f>IFERROR(__xludf.DUMMYFUNCTION("""COMPUTED_VALUE"""),"")</f>
        <v/>
      </c>
      <c r="L51" s="21" t="str">
        <f>IFERROR(__xludf.DUMMYFUNCTION("""COMPUTED_VALUE"""),"洋")</f>
        <v>洋</v>
      </c>
      <c r="N51" s="23" t="b">
        <f>IFERROR(__xludf.DUMMYFUNCTION("""COMPUTED_VALUE"""),FALSE)</f>
        <v>0</v>
      </c>
      <c r="O51" s="23" t="str">
        <f>IFERROR(__xludf.DUMMYFUNCTION("""COMPUTED_VALUE"""),"Google")</f>
        <v>Google</v>
      </c>
      <c r="P51" s="23">
        <f>IFERROR(__xludf.DUMMYFUNCTION("""COMPUTED_VALUE"""),1.0)</f>
        <v>1</v>
      </c>
      <c r="Q51" s="25">
        <f>IFERROR(__xludf.DUMMYFUNCTION("""COMPUTED_VALUE"""),46106.0)</f>
        <v>46106</v>
      </c>
      <c r="R51"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51" s="23"/>
      <c r="T51" s="23"/>
      <c r="U51"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51" s="23" t="str">
        <f>IFERROR(__xludf.DUMMYFUNCTION("""COMPUTED_VALUE"""),"")</f>
        <v/>
      </c>
      <c r="W51" s="23" t="str">
        <f>IFERROR(__xludf.DUMMYFUNCTION("""COMPUTED_VALUE"""),"")</f>
        <v/>
      </c>
      <c r="X51" s="23" t="str">
        <f>IFERROR(__xludf.DUMMYFUNCTION("""COMPUTED_VALUE"""),"洋")</f>
        <v>洋</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IFERROR(__xludf.DUMMYFUNCTION("""COMPUTED_VALUE"""),46105.0)</f>
        <v>46105</v>
      </c>
      <c r="F52"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52" s="21"/>
      <c r="H52" s="21"/>
      <c r="I52"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IFERROR(__xludf.DUMMYFUNCTION("""COMPUTED_VALUE"""),10.0)</f>
        <v>10</v>
      </c>
      <c r="Q52" s="25">
        <f>IFERROR(__xludf.DUMMYFUNCTION("""COMPUTED_VALUE"""),46105.0)</f>
        <v>46105</v>
      </c>
      <c r="R52"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52" s="23"/>
      <c r="T52" s="23"/>
      <c r="U52"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IFERROR(__xludf.DUMMYFUNCTION("""COMPUTED_VALUE"""),6.0)</f>
        <v>6</v>
      </c>
      <c r="E53" s="22">
        <f>IFERROR(__xludf.DUMMYFUNCTION("""COMPUTED_VALUE"""),46105.0)</f>
        <v>46105</v>
      </c>
      <c r="F53" s="21"/>
      <c r="G53" s="21" t="str">
        <f>IFERROR(__xludf.DUMMYFUNCTION("""COMPUTED_VALUE"""),"駅が近い  商業施設が近い")</f>
        <v>駅が近い  商業施設が近い</v>
      </c>
      <c r="H53"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53" s="21" t="str">
        <f>IFERROR(__xludf.DUMMYFUNCTION("""COMPUTED_VALUE"""),"")</f>
        <v/>
      </c>
      <c r="J53" s="21" t="str">
        <f>IFERROR(__xludf.DUMMYFUNCTION("""COMPUTED_VALUE"""),"駅が近い  商業施設が近い")</f>
        <v>駅が近い  商業施設が近い</v>
      </c>
      <c r="K53"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53" s="21" t="str">
        <f>IFERROR(__xludf.DUMMYFUNCTION("""COMPUTED_VALUE"""),"Mutsumi")</f>
        <v>Mutsumi</v>
      </c>
      <c r="N53" s="23" t="b">
        <f>IFERROR(__xludf.DUMMYFUNCTION("""COMPUTED_VALUE"""),FALSE)</f>
        <v>0</v>
      </c>
      <c r="O53" s="24" t="str">
        <f>IFERROR(__xludf.DUMMYFUNCTION("""COMPUTED_VALUE"""),"Booking.com")</f>
        <v>Booking.com</v>
      </c>
      <c r="P53" s="23">
        <f>IFERROR(__xludf.DUMMYFUNCTION("""COMPUTED_VALUE"""),6.0)</f>
        <v>6</v>
      </c>
      <c r="Q53" s="25">
        <f>IFERROR(__xludf.DUMMYFUNCTION("""COMPUTED_VALUE"""),46105.0)</f>
        <v>46105</v>
      </c>
      <c r="R53" s="23"/>
      <c r="S53" s="23" t="str">
        <f>IFERROR(__xludf.DUMMYFUNCTION("""COMPUTED_VALUE"""),"駅が近い  商業施設が近い")</f>
        <v>駅が近い  商業施設が近い</v>
      </c>
      <c r="T53"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53" s="23" t="str">
        <f>IFERROR(__xludf.DUMMYFUNCTION("""COMPUTED_VALUE"""),"")</f>
        <v/>
      </c>
      <c r="V53" s="23" t="str">
        <f>IFERROR(__xludf.DUMMYFUNCTION("""COMPUTED_VALUE"""),"駅が近い  商業施設が近い")</f>
        <v>駅が近い  商業施設が近い</v>
      </c>
      <c r="W53"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53" s="23" t="str">
        <f>IFERROR(__xludf.DUMMYFUNCTION("""COMPUTED_VALUE"""),"Mutsumi")</f>
        <v>Mutsumi</v>
      </c>
    </row>
    <row r="54">
      <c r="B54" s="19" t="b">
        <f>IFERROR(__xludf.DUMMYFUNCTION("""COMPUTED_VALUE"""),FALSE)</f>
        <v>0</v>
      </c>
      <c r="C54" s="21" t="str">
        <f>IFERROR(__xludf.DUMMYFUNCTION("""COMPUTED_VALUE"""),"Agoda")</f>
        <v>Agoda</v>
      </c>
      <c r="D54" s="21">
        <f>IFERROR(__xludf.DUMMYFUNCTION("""COMPUTED_VALUE"""),7.0)</f>
        <v>7</v>
      </c>
      <c r="E54" s="22">
        <f>IFERROR(__xludf.DUMMYFUNCTION("""COMPUTED_VALUE"""),46105.0)</f>
        <v>46105</v>
      </c>
      <c r="F54"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54" s="21"/>
      <c r="H54" s="21"/>
      <c r="I54"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54" s="21" t="str">
        <f>IFERROR(__xludf.DUMMYFUNCTION("""COMPUTED_VALUE"""),"")</f>
        <v/>
      </c>
      <c r="K54" s="21" t="str">
        <f>IFERROR(__xludf.DUMMYFUNCTION("""COMPUTED_VALUE"""),"")</f>
        <v/>
      </c>
      <c r="L54" s="21" t="str">
        <f>IFERROR(__xludf.DUMMYFUNCTION("""COMPUTED_VALUE"""),"陸椰")</f>
        <v>陸椰</v>
      </c>
      <c r="N54" s="23" t="b">
        <f>IFERROR(__xludf.DUMMYFUNCTION("""COMPUTED_VALUE"""),FALSE)</f>
        <v>0</v>
      </c>
      <c r="O54" s="23" t="str">
        <f>IFERROR(__xludf.DUMMYFUNCTION("""COMPUTED_VALUE"""),"Agoda")</f>
        <v>Agoda</v>
      </c>
      <c r="P54" s="23">
        <f>IFERROR(__xludf.DUMMYFUNCTION("""COMPUTED_VALUE"""),7.0)</f>
        <v>7</v>
      </c>
      <c r="Q54" s="25">
        <f>IFERROR(__xludf.DUMMYFUNCTION("""COMPUTED_VALUE"""),46105.0)</f>
        <v>46105</v>
      </c>
      <c r="R54"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54" s="23"/>
      <c r="T54" s="23"/>
      <c r="U54"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54" s="23" t="str">
        <f>IFERROR(__xludf.DUMMYFUNCTION("""COMPUTED_VALUE"""),"")</f>
        <v/>
      </c>
      <c r="W54" s="23" t="str">
        <f>IFERROR(__xludf.DUMMYFUNCTION("""COMPUTED_VALUE"""),"")</f>
        <v/>
      </c>
      <c r="X54" s="23" t="str">
        <f>IFERROR(__xludf.DUMMYFUNCTION("""COMPUTED_VALUE"""),"陸椰")</f>
        <v>陸椰</v>
      </c>
    </row>
    <row r="55">
      <c r="B55" s="19" t="b">
        <f>IFERROR(__xludf.DUMMYFUNCTION("""COMPUTED_VALUE"""),FALSE)</f>
        <v>0</v>
      </c>
      <c r="C55" s="20" t="str">
        <f>IFERROR(__xludf.DUMMYFUNCTION("""COMPUTED_VALUE"""),"Trip.com")</f>
        <v>Trip.com</v>
      </c>
      <c r="D55" s="21">
        <f>IFERROR(__xludf.DUMMYFUNCTION("""COMPUTED_VALUE"""),9.0)</f>
        <v>9</v>
      </c>
      <c r="E55" s="22">
        <f>IFERROR(__xludf.DUMMYFUNCTION("""COMPUTED_VALUE"""),46105.0)</f>
        <v>46105</v>
      </c>
      <c r="F55" s="21" t="str">
        <f>IFERROR(__xludf.DUMMYFUNCTION("""COMPUTED_VALUE"""),"位置真的很好！")</f>
        <v>位置真的很好！</v>
      </c>
      <c r="G55" s="21"/>
      <c r="H55" s="21"/>
      <c r="I55" s="21" t="str">
        <f>IFERROR(__xludf.DUMMYFUNCTION("""COMPUTED_VALUE"""),"立地が本当に素晴らしいです！")</f>
        <v>立地が本当に素晴らしいです！</v>
      </c>
      <c r="J55" s="21" t="str">
        <f>IFERROR(__xludf.DUMMYFUNCTION("""COMPUTED_VALUE"""),"")</f>
        <v/>
      </c>
      <c r="K55" s="21" t="str">
        <f>IFERROR(__xludf.DUMMYFUNCTION("""COMPUTED_VALUE"""),"")</f>
        <v/>
      </c>
      <c r="L55" s="21" t="str">
        <f>IFERROR(__xludf.DUMMYFUNCTION("""COMPUTED_VALUE"""),"匿‍名‍ユ‍ー‍ザ‍ー")</f>
        <v>匿‍名‍ユ‍ー‍ザ‍ー</v>
      </c>
      <c r="N55" s="23" t="b">
        <f>IFERROR(__xludf.DUMMYFUNCTION("""COMPUTED_VALUE"""),FALSE)</f>
        <v>0</v>
      </c>
      <c r="O55" s="24" t="str">
        <f>IFERROR(__xludf.DUMMYFUNCTION("""COMPUTED_VALUE"""),"Trip.com")</f>
        <v>Trip.com</v>
      </c>
      <c r="P55" s="23">
        <f>IFERROR(__xludf.DUMMYFUNCTION("""COMPUTED_VALUE"""),9.0)</f>
        <v>9</v>
      </c>
      <c r="Q55" s="25">
        <f>IFERROR(__xludf.DUMMYFUNCTION("""COMPUTED_VALUE"""),46105.0)</f>
        <v>46105</v>
      </c>
      <c r="R55" s="23" t="str">
        <f>IFERROR(__xludf.DUMMYFUNCTION("""COMPUTED_VALUE"""),"位置真的很好！")</f>
        <v>位置真的很好！</v>
      </c>
      <c r="S55" s="23"/>
      <c r="T55" s="23"/>
      <c r="U55" s="23" t="str">
        <f>IFERROR(__xludf.DUMMYFUNCTION("""COMPUTED_VALUE"""),"立地が本当に素晴らしいです！")</f>
        <v>立地が本当に素晴らしいです！</v>
      </c>
      <c r="V55" s="23" t="str">
        <f>IFERROR(__xludf.DUMMYFUNCTION("""COMPUTED_VALUE"""),"")</f>
        <v/>
      </c>
      <c r="W55" s="23" t="str">
        <f>IFERROR(__xludf.DUMMYFUNCTION("""COMPUTED_VALUE"""),"")</f>
        <v/>
      </c>
      <c r="X55" s="23" t="str">
        <f>IFERROR(__xludf.DUMMYFUNCTION("""COMPUTED_VALUE"""),"匿‍名‍ユ‍ー‍ザ‍ー")</f>
        <v>匿‍名‍ユ‍ー‍ザ‍ー</v>
      </c>
    </row>
    <row r="56">
      <c r="B56" s="19" t="b">
        <f>IFERROR(__xludf.DUMMYFUNCTION("""COMPUTED_VALUE"""),FALSE)</f>
        <v>0</v>
      </c>
      <c r="C56" s="20" t="str">
        <f>IFERROR(__xludf.DUMMYFUNCTION("""COMPUTED_VALUE"""),"Trip.com")</f>
        <v>Trip.com</v>
      </c>
      <c r="D56" s="21">
        <f>IFERROR(__xludf.DUMMYFUNCTION("""COMPUTED_VALUE"""),10.0)</f>
        <v>10</v>
      </c>
      <c r="E56" s="22">
        <f>IFERROR(__xludf.DUMMYFUNCTION("""COMPUTED_VALUE"""),46105.0)</f>
        <v>46105</v>
      </c>
      <c r="F56" s="21" t="str">
        <f>IFERROR(__xludf.DUMMYFUNCTION("""COMPUTED_VALUE"""),"便利なロケーション。広いベッド")</f>
        <v>便利なロケーション。広いベッド</v>
      </c>
      <c r="G56" s="21"/>
      <c r="H56" s="21"/>
      <c r="I56" s="21" t="str">
        <f>IFERROR(__xludf.DUMMYFUNCTION("""COMPUTED_VALUE"""),"便利なロケーション。広いベッド")</f>
        <v>便利なロケーション。広いベッド</v>
      </c>
      <c r="J56" s="21" t="str">
        <f>IFERROR(__xludf.DUMMYFUNCTION("""COMPUTED_VALUE"""),"")</f>
        <v/>
      </c>
      <c r="K56" s="21" t="str">
        <f>IFERROR(__xludf.DUMMYFUNCTION("""COMPUTED_VALUE"""),"")</f>
        <v/>
      </c>
      <c r="L56" s="21" t="str">
        <f>IFERROR(__xludf.DUMMYFUNCTION("""COMPUTED_VALUE"""),"ゲ‍ス‍ト")</f>
        <v>ゲ‍ス‍ト</v>
      </c>
      <c r="N56" s="23" t="b">
        <f>IFERROR(__xludf.DUMMYFUNCTION("""COMPUTED_VALUE"""),FALSE)</f>
        <v>0</v>
      </c>
      <c r="O56" s="24" t="str">
        <f>IFERROR(__xludf.DUMMYFUNCTION("""COMPUTED_VALUE"""),"Trip.com")</f>
        <v>Trip.com</v>
      </c>
      <c r="P56" s="23">
        <f>IFERROR(__xludf.DUMMYFUNCTION("""COMPUTED_VALUE"""),10.0)</f>
        <v>10</v>
      </c>
      <c r="Q56" s="25">
        <f>IFERROR(__xludf.DUMMYFUNCTION("""COMPUTED_VALUE"""),46105.0)</f>
        <v>46105</v>
      </c>
      <c r="R56" s="23" t="str">
        <f>IFERROR(__xludf.DUMMYFUNCTION("""COMPUTED_VALUE"""),"便利なロケーション。広いベッド")</f>
        <v>便利なロケーション。広いベッド</v>
      </c>
      <c r="S56" s="23"/>
      <c r="T56" s="23"/>
      <c r="U56" s="23" t="str">
        <f>IFERROR(__xludf.DUMMYFUNCTION("""COMPUTED_VALUE"""),"便利なロケーション。広いベッド")</f>
        <v>便利なロケーション。広いベッド</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1" t="str">
        <f>IFERROR(__xludf.DUMMYFUNCTION("""COMPUTED_VALUE"""),"Agoda")</f>
        <v>Agoda</v>
      </c>
      <c r="D57" s="21">
        <f>IFERROR(__xludf.DUMMYFUNCTION("""COMPUTED_VALUE"""),10.0)</f>
        <v>10</v>
      </c>
      <c r="E57" s="22">
        <f>IFERROR(__xludf.DUMMYFUNCTION("""COMPUTED_VALUE"""),46105.0)</f>
        <v>46105</v>
      </c>
      <c r="F57"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57" s="21"/>
      <c r="H57" s="21"/>
      <c r="I57"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57" s="21" t="str">
        <f>IFERROR(__xludf.DUMMYFUNCTION("""COMPUTED_VALUE"""),"")</f>
        <v/>
      </c>
      <c r="K57" s="21" t="str">
        <f>IFERROR(__xludf.DUMMYFUNCTION("""COMPUTED_VALUE"""),"")</f>
        <v/>
      </c>
      <c r="L57" s="21" t="str">
        <f>IFERROR(__xludf.DUMMYFUNCTION("""COMPUTED_VALUE"""),"yasunori")</f>
        <v>yasunori</v>
      </c>
      <c r="N57" s="23" t="b">
        <f>IFERROR(__xludf.DUMMYFUNCTION("""COMPUTED_VALUE"""),FALSE)</f>
        <v>0</v>
      </c>
      <c r="O57" s="23" t="str">
        <f>IFERROR(__xludf.DUMMYFUNCTION("""COMPUTED_VALUE"""),"Agoda")</f>
        <v>Agoda</v>
      </c>
      <c r="P57" s="23">
        <f>IFERROR(__xludf.DUMMYFUNCTION("""COMPUTED_VALUE"""),10.0)</f>
        <v>10</v>
      </c>
      <c r="Q57" s="25">
        <f>IFERROR(__xludf.DUMMYFUNCTION("""COMPUTED_VALUE"""),46105.0)</f>
        <v>46105</v>
      </c>
      <c r="R57"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57" s="23"/>
      <c r="T57" s="23"/>
      <c r="U57"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57" s="23" t="str">
        <f>IFERROR(__xludf.DUMMYFUNCTION("""COMPUTED_VALUE"""),"")</f>
        <v/>
      </c>
      <c r="W57" s="23" t="str">
        <f>IFERROR(__xludf.DUMMYFUNCTION("""COMPUTED_VALUE"""),"")</f>
        <v/>
      </c>
      <c r="X57" s="23" t="str">
        <f>IFERROR(__xludf.DUMMYFUNCTION("""COMPUTED_VALUE"""),"yasunori")</f>
        <v>yasunori</v>
      </c>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IFERROR(__xludf.DUMMYFUNCTION("""COMPUTED_VALUE"""),46105.0)</f>
        <v>46105</v>
      </c>
      <c r="F58" s="21"/>
      <c r="G58"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58" s="21" t="str">
        <f>IFERROR(__xludf.DUMMYFUNCTION("""COMPUTED_VALUE"""),"The breakfast isn’t worth it. The food was lukewarm and nothing stood out except the terrible coffee.")</f>
        <v>The breakfast isn’t worth it. The food was lukewarm and nothing stood out except the terrible coffee.</v>
      </c>
      <c r="I58" s="21" t="str">
        <f>IFERROR(__xludf.DUMMYFUNCTION("""COMPUTED_VALUE"""),"")</f>
        <v/>
      </c>
      <c r="J58"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58"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58" s="21" t="str">
        <f>IFERROR(__xludf.DUMMYFUNCTION("""COMPUTED_VALUE"""),"Lynnette")</f>
        <v>Lynnette</v>
      </c>
      <c r="N58" s="23" t="b">
        <f>IFERROR(__xludf.DUMMYFUNCTION("""COMPUTED_VALUE"""),FALSE)</f>
        <v>0</v>
      </c>
      <c r="O58" s="24" t="str">
        <f>IFERROR(__xludf.DUMMYFUNCTION("""COMPUTED_VALUE"""),"Booking.com")</f>
        <v>Booking.com</v>
      </c>
      <c r="P58" s="23">
        <f>IFERROR(__xludf.DUMMYFUNCTION("""COMPUTED_VALUE"""),9.0)</f>
        <v>9</v>
      </c>
      <c r="Q58" s="25">
        <f>IFERROR(__xludf.DUMMYFUNCTION("""COMPUTED_VALUE"""),46105.0)</f>
        <v>46105</v>
      </c>
      <c r="R58" s="23"/>
      <c r="S58"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58" s="23" t="str">
        <f>IFERROR(__xludf.DUMMYFUNCTION("""COMPUTED_VALUE"""),"The breakfast isn’t worth it. The food was lukewarm and nothing stood out except the terrible coffee.")</f>
        <v>The breakfast isn’t worth it. The food was lukewarm and nothing stood out except the terrible coffee.</v>
      </c>
      <c r="U58" s="23" t="str">
        <f>IFERROR(__xludf.DUMMYFUNCTION("""COMPUTED_VALUE"""),"")</f>
        <v/>
      </c>
      <c r="V58"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58"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58" s="23" t="str">
        <f>IFERROR(__xludf.DUMMYFUNCTION("""COMPUTED_VALUE"""),"Lynnette")</f>
        <v>Lynnette</v>
      </c>
    </row>
    <row r="59">
      <c r="B59" s="19" t="b">
        <f>IFERROR(__xludf.DUMMYFUNCTION("""COMPUTED_VALUE"""),FALSE)</f>
        <v>0</v>
      </c>
      <c r="C59" s="20" t="str">
        <f>IFERROR(__xludf.DUMMYFUNCTION("""COMPUTED_VALUE"""),"Booking.com")</f>
        <v>Booking.com</v>
      </c>
      <c r="D59" s="21">
        <f>IFERROR(__xludf.DUMMYFUNCTION("""COMPUTED_VALUE"""),10.0)</f>
        <v>10</v>
      </c>
      <c r="E59" s="22">
        <f>IFERROR(__xludf.DUMMYFUNCTION("""COMPUTED_VALUE"""),46105.0)</f>
        <v>46105</v>
      </c>
      <c r="F59" s="21"/>
      <c r="G59" s="21" t="str">
        <f>IFERROR(__xludf.DUMMYFUNCTION("""COMPUTED_VALUE"""),"利便性がよかった。洗面所周りが広く全体的に綺麗でお安くお得感があった。")</f>
        <v>利便性がよかった。洗面所周りが広く全体的に綺麗でお安くお得感があった。</v>
      </c>
      <c r="H59" s="21" t="str">
        <f>IFERROR(__xludf.DUMMYFUNCTION("""COMPUTED_VALUE"""),"特になかった。")</f>
        <v>特になかった。</v>
      </c>
      <c r="I59" s="21" t="str">
        <f>IFERROR(__xludf.DUMMYFUNCTION("""COMPUTED_VALUE"""),"")</f>
        <v/>
      </c>
      <c r="J59" s="21" t="str">
        <f>IFERROR(__xludf.DUMMYFUNCTION("""COMPUTED_VALUE"""),"利便性がよかった。洗面所周りが広く全体的に綺麗でお安くお得感があった。")</f>
        <v>利便性がよかった。洗面所周りが広く全体的に綺麗でお安くお得感があった。</v>
      </c>
      <c r="K59" s="21" t="str">
        <f>IFERROR(__xludf.DUMMYFUNCTION("""COMPUTED_VALUE"""),"特になかった。")</f>
        <v>特になかった。</v>
      </c>
      <c r="L59" s="21" t="str">
        <f>IFERROR(__xludf.DUMMYFUNCTION("""COMPUTED_VALUE"""),"Mayumi")</f>
        <v>Mayumi</v>
      </c>
      <c r="N59" s="23" t="b">
        <f>IFERROR(__xludf.DUMMYFUNCTION("""COMPUTED_VALUE"""),FALSE)</f>
        <v>0</v>
      </c>
      <c r="O59" s="24" t="str">
        <f>IFERROR(__xludf.DUMMYFUNCTION("""COMPUTED_VALUE"""),"Booking.com")</f>
        <v>Booking.com</v>
      </c>
      <c r="P59" s="23">
        <f>IFERROR(__xludf.DUMMYFUNCTION("""COMPUTED_VALUE"""),10.0)</f>
        <v>10</v>
      </c>
      <c r="Q59" s="25">
        <f>IFERROR(__xludf.DUMMYFUNCTION("""COMPUTED_VALUE"""),46105.0)</f>
        <v>46105</v>
      </c>
      <c r="R59" s="23"/>
      <c r="S59" s="23" t="str">
        <f>IFERROR(__xludf.DUMMYFUNCTION("""COMPUTED_VALUE"""),"利便性がよかった。洗面所周りが広く全体的に綺麗でお安くお得感があった。")</f>
        <v>利便性がよかった。洗面所周りが広く全体的に綺麗でお安くお得感があった。</v>
      </c>
      <c r="T59" s="23" t="str">
        <f>IFERROR(__xludf.DUMMYFUNCTION("""COMPUTED_VALUE"""),"特になかった。")</f>
        <v>特になかった。</v>
      </c>
      <c r="U59" s="23" t="str">
        <f>IFERROR(__xludf.DUMMYFUNCTION("""COMPUTED_VALUE"""),"")</f>
        <v/>
      </c>
      <c r="V59" s="23" t="str">
        <f>IFERROR(__xludf.DUMMYFUNCTION("""COMPUTED_VALUE"""),"利便性がよかった。洗面所周りが広く全体的に綺麗でお安くお得感があった。")</f>
        <v>利便性がよかった。洗面所周りが広く全体的に綺麗でお安くお得感があった。</v>
      </c>
      <c r="W59" s="23" t="str">
        <f>IFERROR(__xludf.DUMMYFUNCTION("""COMPUTED_VALUE"""),"特になかった。")</f>
        <v>特になかった。</v>
      </c>
      <c r="X59" s="23" t="str">
        <f>IFERROR(__xludf.DUMMYFUNCTION("""COMPUTED_VALUE"""),"Mayumi")</f>
        <v>Mayumi</v>
      </c>
    </row>
    <row r="60">
      <c r="B60" s="21" t="b">
        <f>IFERROR(__xludf.DUMMYFUNCTION("""COMPUTED_VALUE"""),FALSE)</f>
        <v>0</v>
      </c>
      <c r="C60" s="21" t="str">
        <f>IFERROR(__xludf.DUMMYFUNCTION("""COMPUTED_VALUE"""),"Google")</f>
        <v>Google</v>
      </c>
      <c r="D60" s="21">
        <f>IFERROR(__xludf.DUMMYFUNCTION("""COMPUTED_VALUE"""),4.0)</f>
        <v>4</v>
      </c>
      <c r="E60" s="22">
        <f>IFERROR(__xludf.DUMMYFUNCTION("""COMPUTED_VALUE"""),46105.0)</f>
        <v>46105</v>
      </c>
      <c r="F60" s="21"/>
      <c r="G60" s="21"/>
      <c r="H60" s="21"/>
      <c r="I60" s="21" t="str">
        <f>IFERROR(__xludf.DUMMYFUNCTION("""COMPUTED_VALUE"""),"")</f>
        <v/>
      </c>
      <c r="J60" s="21" t="str">
        <f>IFERROR(__xludf.DUMMYFUNCTION("""COMPUTED_VALUE"""),"")</f>
        <v/>
      </c>
      <c r="K60" s="21" t="str">
        <f>IFERROR(__xludf.DUMMYFUNCTION("""COMPUTED_VALUE"""),"")</f>
        <v/>
      </c>
      <c r="L60" s="21" t="str">
        <f>IFERROR(__xludf.DUMMYFUNCTION("""COMPUTED_VALUE"""),"Yoshio Kamiya")</f>
        <v>Yoshio Kamiya</v>
      </c>
      <c r="N60" s="23" t="b">
        <f>IFERROR(__xludf.DUMMYFUNCTION("""COMPUTED_VALUE"""),FALSE)</f>
        <v>0</v>
      </c>
      <c r="O60" s="23" t="str">
        <f>IFERROR(__xludf.DUMMYFUNCTION("""COMPUTED_VALUE"""),"Google")</f>
        <v>Google</v>
      </c>
      <c r="P60" s="23">
        <f>IFERROR(__xludf.DUMMYFUNCTION("""COMPUTED_VALUE"""),4.0)</f>
        <v>4</v>
      </c>
      <c r="Q60" s="25">
        <f>IFERROR(__xludf.DUMMYFUNCTION("""COMPUTED_VALUE"""),46105.0)</f>
        <v>46105</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IFERROR(__xludf.DUMMYFUNCTION("""COMPUTED_VALUE"""),"Yoshio Kamiya")</f>
        <v>Yoshio Kamiya</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IFERROR(__xludf.DUMMYFUNCTION("""COMPUTED_VALUE"""),46105.0)</f>
        <v>46105</v>
      </c>
      <c r="F61"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61" s="21"/>
      <c r="H61" s="21"/>
      <c r="I61"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61" s="21" t="str">
        <f>IFERROR(__xludf.DUMMYFUNCTION("""COMPUTED_VALUE"""),"")</f>
        <v/>
      </c>
      <c r="K61" s="21" t="str">
        <f>IFERROR(__xludf.DUMMYFUNCTION("""COMPUTED_VALUE"""),"")</f>
        <v/>
      </c>
      <c r="L61" s="21" t="str">
        <f>IFERROR(__xludf.DUMMYFUNCTION("""COMPUTED_VALUE"""),"雪菜さん")</f>
        <v>雪菜さん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IFERROR(__xludf.DUMMYFUNCTION("""COMPUTED_VALUE"""),46105.0)</f>
        <v>46105</v>
      </c>
      <c r="R61"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61" s="23"/>
      <c r="T61" s="23"/>
      <c r="U61"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61" s="23" t="str">
        <f>IFERROR(__xludf.DUMMYFUNCTION("""COMPUTED_VALUE"""),"")</f>
        <v/>
      </c>
      <c r="W61" s="23" t="str">
        <f>IFERROR(__xludf.DUMMYFUNCTION("""COMPUTED_VALUE"""),"")</f>
        <v/>
      </c>
      <c r="X61" s="23" t="str">
        <f>IFERROR(__xludf.DUMMYFUNCTION("""COMPUTED_VALUE"""),"雪菜さん")</f>
        <v>雪菜さん</v>
      </c>
    </row>
    <row r="62">
      <c r="B62" s="21" t="b">
        <f>IFERROR(__xludf.DUMMYFUNCTION("""COMPUTED_VALUE"""),FALSE)</f>
        <v>0</v>
      </c>
      <c r="C62" s="20" t="str">
        <f>IFERROR(__xludf.DUMMYFUNCTION("""COMPUTED_VALUE"""),"Booking.com")</f>
        <v>Booking.com</v>
      </c>
      <c r="D62" s="21">
        <f>IFERROR(__xludf.DUMMYFUNCTION("""COMPUTED_VALUE"""),8.0)</f>
        <v>8</v>
      </c>
      <c r="E62" s="22">
        <f>IFERROR(__xludf.DUMMYFUNCTION("""COMPUTED_VALUE"""),46104.0)</f>
        <v>46104</v>
      </c>
      <c r="F62" s="21"/>
      <c r="G62" s="21" t="str">
        <f>IFERROR(__xludf.DUMMYFUNCTION("""COMPUTED_VALUE"""),"清潔で良かった")</f>
        <v>清潔で良かった</v>
      </c>
      <c r="H62" s="21" t="str">
        <f>IFERROR(__xludf.DUMMYFUNCTION("""COMPUTED_VALUE"""),"高さ制限のある車は、別の駐車場に停めるようになりますが、不便でした")</f>
        <v>高さ制限のある車は、別の駐車場に停めるようになりますが、不便でした</v>
      </c>
      <c r="I62" s="21" t="str">
        <f>IFERROR(__xludf.DUMMYFUNCTION("""COMPUTED_VALUE"""),"")</f>
        <v/>
      </c>
      <c r="J62" s="21" t="str">
        <f>IFERROR(__xludf.DUMMYFUNCTION("""COMPUTED_VALUE"""),"清潔で良かった")</f>
        <v>清潔で良かった</v>
      </c>
      <c r="K62" s="21" t="str">
        <f>IFERROR(__xludf.DUMMYFUNCTION("""COMPUTED_VALUE"""),"高さ制限のある車は、別の駐車場に停めるようになりますが、不便でした")</f>
        <v>高さ制限のある車は、別の駐車場に停めるようになりますが、不便でした</v>
      </c>
      <c r="L62" s="21" t="str">
        <f>IFERROR(__xludf.DUMMYFUNCTION("""COMPUTED_VALUE"""),"Yorio")</f>
        <v>Yorio</v>
      </c>
      <c r="N62" s="23" t="b">
        <f>IFERROR(__xludf.DUMMYFUNCTION("""COMPUTED_VALUE"""),FALSE)</f>
        <v>0</v>
      </c>
      <c r="O62" s="24" t="str">
        <f>IFERROR(__xludf.DUMMYFUNCTION("""COMPUTED_VALUE"""),"Booking.com")</f>
        <v>Booking.com</v>
      </c>
      <c r="P62" s="23">
        <f>IFERROR(__xludf.DUMMYFUNCTION("""COMPUTED_VALUE"""),8.0)</f>
        <v>8</v>
      </c>
      <c r="Q62" s="25">
        <f>IFERROR(__xludf.DUMMYFUNCTION("""COMPUTED_VALUE"""),46104.0)</f>
        <v>46104</v>
      </c>
      <c r="R62" s="23"/>
      <c r="S62" s="23" t="str">
        <f>IFERROR(__xludf.DUMMYFUNCTION("""COMPUTED_VALUE"""),"清潔で良かった")</f>
        <v>清潔で良かった</v>
      </c>
      <c r="T62" s="23" t="str">
        <f>IFERROR(__xludf.DUMMYFUNCTION("""COMPUTED_VALUE"""),"高さ制限のある車は、別の駐車場に停めるようになりますが、不便でした")</f>
        <v>高さ制限のある車は、別の駐車場に停めるようになりますが、不便でした</v>
      </c>
      <c r="U62" s="23" t="str">
        <f>IFERROR(__xludf.DUMMYFUNCTION("""COMPUTED_VALUE"""),"")</f>
        <v/>
      </c>
      <c r="V62" s="23" t="str">
        <f>IFERROR(__xludf.DUMMYFUNCTION("""COMPUTED_VALUE"""),"清潔で良かった")</f>
        <v>清潔で良かった</v>
      </c>
      <c r="W62" s="23" t="str">
        <f>IFERROR(__xludf.DUMMYFUNCTION("""COMPUTED_VALUE"""),"高さ制限のある車は、別の駐車場に停めるようになりますが、不便でした")</f>
        <v>高さ制限のある車は、別の駐車場に停めるようになりますが、不便でした</v>
      </c>
      <c r="X62" s="23" t="str">
        <f>IFERROR(__xludf.DUMMYFUNCTION("""COMPUTED_VALUE"""),"Yorio")</f>
        <v>Yorio</v>
      </c>
    </row>
    <row r="63">
      <c r="B63" s="21" t="b">
        <f>IFERROR(__xludf.DUMMYFUNCTION("""COMPUTED_VALUE"""),FALSE)</f>
        <v>0</v>
      </c>
      <c r="C63" s="21" t="str">
        <f>IFERROR(__xludf.DUMMYFUNCTION("""COMPUTED_VALUE"""),"楽天トラベル")</f>
        <v>楽天トラベル</v>
      </c>
      <c r="D63" s="21">
        <f>IFERROR(__xludf.DUMMYFUNCTION("""COMPUTED_VALUE"""),5.0)</f>
        <v>5</v>
      </c>
      <c r="E63" s="22">
        <f>IFERROR(__xludf.DUMMYFUNCTION("""COMPUTED_VALUE"""),46104.0)</f>
        <v>46104</v>
      </c>
      <c r="F63"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63" s="21"/>
      <c r="H63" s="21"/>
      <c r="I63"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63" s="21" t="str">
        <f>IFERROR(__xludf.DUMMYFUNCTION("""COMPUTED_VALUE"""),"")</f>
        <v/>
      </c>
      <c r="K63" s="21" t="str">
        <f>IFERROR(__xludf.DUMMYFUNCTION("""COMPUTED_VALUE"""),"")</f>
        <v/>
      </c>
      <c r="L63" s="21" t="str">
        <f>IFERROR(__xludf.DUMMYFUNCTION("""COMPUTED_VALUE"""),"あかるりも")</f>
        <v>あかるりも</v>
      </c>
      <c r="N63" s="23" t="b">
        <f>IFERROR(__xludf.DUMMYFUNCTION("""COMPUTED_VALUE"""),FALSE)</f>
        <v>0</v>
      </c>
      <c r="O63" s="23" t="str">
        <f>IFERROR(__xludf.DUMMYFUNCTION("""COMPUTED_VALUE"""),"楽天トラベル")</f>
        <v>楽天トラベル</v>
      </c>
      <c r="P63" s="23">
        <f>IFERROR(__xludf.DUMMYFUNCTION("""COMPUTED_VALUE"""),5.0)</f>
        <v>5</v>
      </c>
      <c r="Q63" s="25">
        <f>IFERROR(__xludf.DUMMYFUNCTION("""COMPUTED_VALUE"""),46104.0)</f>
        <v>46104</v>
      </c>
      <c r="R63"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63" s="23"/>
      <c r="T63" s="23"/>
      <c r="U63"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63" s="23" t="str">
        <f>IFERROR(__xludf.DUMMYFUNCTION("""COMPUTED_VALUE"""),"")</f>
        <v/>
      </c>
      <c r="W63" s="23" t="str">
        <f>IFERROR(__xludf.DUMMYFUNCTION("""COMPUTED_VALUE"""),"")</f>
        <v/>
      </c>
      <c r="X63" s="23" t="str">
        <f>IFERROR(__xludf.DUMMYFUNCTION("""COMPUTED_VALUE"""),"あかるりも")</f>
        <v>あかるりも</v>
      </c>
    </row>
    <row r="64">
      <c r="B64" s="21" t="b">
        <f>IFERROR(__xludf.DUMMYFUNCTION("""COMPUTED_VALUE"""),FALSE)</f>
        <v>0</v>
      </c>
      <c r="C64" s="21" t="str">
        <f>IFERROR(__xludf.DUMMYFUNCTION("""COMPUTED_VALUE"""),"楽天トラベル")</f>
        <v>楽天トラベル</v>
      </c>
      <c r="D64" s="21">
        <f>IFERROR(__xludf.DUMMYFUNCTION("""COMPUTED_VALUE"""),5.0)</f>
        <v>5</v>
      </c>
      <c r="E64" s="22">
        <f>IFERROR(__xludf.DUMMYFUNCTION("""COMPUTED_VALUE"""),46104.0)</f>
        <v>46104</v>
      </c>
      <c r="F64"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64" s="21"/>
      <c r="H64" s="21"/>
      <c r="I64"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64" s="21" t="str">
        <f>IFERROR(__xludf.DUMMYFUNCTION("""COMPUTED_VALUE"""),"")</f>
        <v/>
      </c>
      <c r="K64" s="21" t="str">
        <f>IFERROR(__xludf.DUMMYFUNCTION("""COMPUTED_VALUE"""),"")</f>
        <v/>
      </c>
      <c r="L64" s="21" t="str">
        <f>IFERROR(__xludf.DUMMYFUNCTION("""COMPUTED_VALUE"""),"MMMAKKK")</f>
        <v>MMMAKKK</v>
      </c>
      <c r="N64" s="23" t="b">
        <f>IFERROR(__xludf.DUMMYFUNCTION("""COMPUTED_VALUE"""),FALSE)</f>
        <v>0</v>
      </c>
      <c r="O64" s="23" t="str">
        <f>IFERROR(__xludf.DUMMYFUNCTION("""COMPUTED_VALUE"""),"楽天トラベル")</f>
        <v>楽天トラベル</v>
      </c>
      <c r="P64" s="23">
        <f>IFERROR(__xludf.DUMMYFUNCTION("""COMPUTED_VALUE"""),5.0)</f>
        <v>5</v>
      </c>
      <c r="Q64" s="25">
        <f>IFERROR(__xludf.DUMMYFUNCTION("""COMPUTED_VALUE"""),46104.0)</f>
        <v>46104</v>
      </c>
      <c r="R64"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64" s="23"/>
      <c r="T64" s="23"/>
      <c r="U64"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64" s="23" t="str">
        <f>IFERROR(__xludf.DUMMYFUNCTION("""COMPUTED_VALUE"""),"")</f>
        <v/>
      </c>
      <c r="W64" s="23" t="str">
        <f>IFERROR(__xludf.DUMMYFUNCTION("""COMPUTED_VALUE"""),"")</f>
        <v/>
      </c>
      <c r="X64" s="23" t="str">
        <f>IFERROR(__xludf.DUMMYFUNCTION("""COMPUTED_VALUE"""),"MMMAKKK")</f>
        <v>MMMAKKK</v>
      </c>
    </row>
    <row r="65">
      <c r="B65" s="21" t="b">
        <f>IFERROR(__xludf.DUMMYFUNCTION("""COMPUTED_VALUE"""),FALSE)</f>
        <v>0</v>
      </c>
      <c r="C65" s="21" t="str">
        <f>IFERROR(__xludf.DUMMYFUNCTION("""COMPUTED_VALUE"""),"楽天トラベル")</f>
        <v>楽天トラベル</v>
      </c>
      <c r="D65" s="21">
        <f>IFERROR(__xludf.DUMMYFUNCTION("""COMPUTED_VALUE"""),5.0)</f>
        <v>5</v>
      </c>
      <c r="E65" s="22">
        <f>IFERROR(__xludf.DUMMYFUNCTION("""COMPUTED_VALUE"""),46104.0)</f>
        <v>46104</v>
      </c>
      <c r="F65"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65" s="21"/>
      <c r="H65" s="21"/>
      <c r="I65"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65" s="21" t="str">
        <f>IFERROR(__xludf.DUMMYFUNCTION("""COMPUTED_VALUE"""),"")</f>
        <v/>
      </c>
      <c r="K65" s="21" t="str">
        <f>IFERROR(__xludf.DUMMYFUNCTION("""COMPUTED_VALUE"""),"")</f>
        <v/>
      </c>
      <c r="L65" s="21" t="str">
        <f>IFERROR(__xludf.DUMMYFUNCTION("""COMPUTED_VALUE"""),"popmart03194")</f>
        <v>popmart03194</v>
      </c>
      <c r="N65" s="23" t="b">
        <f>IFERROR(__xludf.DUMMYFUNCTION("""COMPUTED_VALUE"""),FALSE)</f>
        <v>0</v>
      </c>
      <c r="O65" s="23" t="str">
        <f>IFERROR(__xludf.DUMMYFUNCTION("""COMPUTED_VALUE"""),"楽天トラベル")</f>
        <v>楽天トラベル</v>
      </c>
      <c r="P65" s="23">
        <f>IFERROR(__xludf.DUMMYFUNCTION("""COMPUTED_VALUE"""),5.0)</f>
        <v>5</v>
      </c>
      <c r="Q65" s="25">
        <f>IFERROR(__xludf.DUMMYFUNCTION("""COMPUTED_VALUE"""),46104.0)</f>
        <v>46104</v>
      </c>
      <c r="R65"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65" s="23"/>
      <c r="T65" s="23"/>
      <c r="U65"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65" s="23" t="str">
        <f>IFERROR(__xludf.DUMMYFUNCTION("""COMPUTED_VALUE"""),"")</f>
        <v/>
      </c>
      <c r="W65" s="23" t="str">
        <f>IFERROR(__xludf.DUMMYFUNCTION("""COMPUTED_VALUE"""),"")</f>
        <v/>
      </c>
      <c r="X65" s="23" t="str">
        <f>IFERROR(__xludf.DUMMYFUNCTION("""COMPUTED_VALUE"""),"popmart03194")</f>
        <v>popmart03194</v>
      </c>
    </row>
    <row r="66">
      <c r="B66" s="21" t="b">
        <f>IFERROR(__xludf.DUMMYFUNCTION("""COMPUTED_VALUE"""),FALSE)</f>
        <v>0</v>
      </c>
      <c r="C66" s="21" t="str">
        <f>IFERROR(__xludf.DUMMYFUNCTION("""COMPUTED_VALUE"""),"楽天トラベル")</f>
        <v>楽天トラベル</v>
      </c>
      <c r="D66" s="21">
        <f>IFERROR(__xludf.DUMMYFUNCTION("""COMPUTED_VALUE"""),3.0)</f>
        <v>3</v>
      </c>
      <c r="E66" s="22">
        <f>IFERROR(__xludf.DUMMYFUNCTION("""COMPUTED_VALUE"""),46104.0)</f>
        <v>46104</v>
      </c>
      <c r="F66"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66" s="21"/>
      <c r="H66" s="21"/>
      <c r="I66"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66" s="21" t="str">
        <f>IFERROR(__xludf.DUMMYFUNCTION("""COMPUTED_VALUE"""),"")</f>
        <v/>
      </c>
      <c r="K66" s="21" t="str">
        <f>IFERROR(__xludf.DUMMYFUNCTION("""COMPUTED_VALUE"""),"")</f>
        <v/>
      </c>
      <c r="L66" s="21" t="str">
        <f>IFERROR(__xludf.DUMMYFUNCTION("""COMPUTED_VALUE"""),"かねごろう")</f>
        <v>かねごろう</v>
      </c>
      <c r="N66" s="23" t="b">
        <f>IFERROR(__xludf.DUMMYFUNCTION("""COMPUTED_VALUE"""),FALSE)</f>
        <v>0</v>
      </c>
      <c r="O66" s="23" t="str">
        <f>IFERROR(__xludf.DUMMYFUNCTION("""COMPUTED_VALUE"""),"楽天トラベル")</f>
        <v>楽天トラベル</v>
      </c>
      <c r="P66" s="23">
        <f>IFERROR(__xludf.DUMMYFUNCTION("""COMPUTED_VALUE"""),3.0)</f>
        <v>3</v>
      </c>
      <c r="Q66" s="25">
        <f>IFERROR(__xludf.DUMMYFUNCTION("""COMPUTED_VALUE"""),46104.0)</f>
        <v>46104</v>
      </c>
      <c r="R66"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66" s="23"/>
      <c r="T66" s="23"/>
      <c r="U66"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66" s="23" t="str">
        <f>IFERROR(__xludf.DUMMYFUNCTION("""COMPUTED_VALUE"""),"")</f>
        <v/>
      </c>
      <c r="W66" s="23" t="str">
        <f>IFERROR(__xludf.DUMMYFUNCTION("""COMPUTED_VALUE"""),"")</f>
        <v/>
      </c>
      <c r="X66" s="23" t="str">
        <f>IFERROR(__xludf.DUMMYFUNCTION("""COMPUTED_VALUE"""),"かねごろう")</f>
        <v>かねごろう</v>
      </c>
    </row>
    <row r="67">
      <c r="B67" s="21" t="b">
        <f>IFERROR(__xludf.DUMMYFUNCTION("""COMPUTED_VALUE"""),FALSE)</f>
        <v>0</v>
      </c>
      <c r="C67" s="20" t="str">
        <f>IFERROR(__xludf.DUMMYFUNCTION("""COMPUTED_VALUE"""),"Booking.com")</f>
        <v>Booking.com</v>
      </c>
      <c r="D67" s="21">
        <f>IFERROR(__xludf.DUMMYFUNCTION("""COMPUTED_VALUE"""),8.0)</f>
        <v>8</v>
      </c>
      <c r="E67" s="22">
        <f>IFERROR(__xludf.DUMMYFUNCTION("""COMPUTED_VALUE"""),46104.0)</f>
        <v>46104</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IFERROR(__xludf.DUMMYFUNCTION("""COMPUTED_VALUE"""),"Rubén")</f>
        <v>Rubén</v>
      </c>
      <c r="N67" s="23" t="b">
        <f>IFERROR(__xludf.DUMMYFUNCTION("""COMPUTED_VALUE"""),FALSE)</f>
        <v>0</v>
      </c>
      <c r="O67" s="24" t="str">
        <f>IFERROR(__xludf.DUMMYFUNCTION("""COMPUTED_VALUE"""),"Booking.com")</f>
        <v>Booking.com</v>
      </c>
      <c r="P67" s="23">
        <f>IFERROR(__xludf.DUMMYFUNCTION("""COMPUTED_VALUE"""),8.0)</f>
        <v>8</v>
      </c>
      <c r="Q67" s="25">
        <f>IFERROR(__xludf.DUMMYFUNCTION("""COMPUTED_VALUE"""),46104.0)</f>
        <v>46104</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IFERROR(__xludf.DUMMYFUNCTION("""COMPUTED_VALUE"""),"Rubén")</f>
        <v>Rubén</v>
      </c>
    </row>
    <row r="68">
      <c r="B68" s="21" t="b">
        <f>IFERROR(__xludf.DUMMYFUNCTION("""COMPUTED_VALUE"""),FALSE)</f>
        <v>0</v>
      </c>
      <c r="C68" s="21" t="str">
        <f>IFERROR(__xludf.DUMMYFUNCTION("""COMPUTED_VALUE"""),"じゃらん")</f>
        <v>じゃらん</v>
      </c>
      <c r="D68" s="21">
        <f>IFERROR(__xludf.DUMMYFUNCTION("""COMPUTED_VALUE"""),4.0)</f>
        <v>4</v>
      </c>
      <c r="E68" s="22">
        <f>IFERROR(__xludf.DUMMYFUNCTION("""COMPUTED_VALUE"""),46104.0)</f>
        <v>46104</v>
      </c>
      <c r="F68"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68" s="21"/>
      <c r="H68" s="21"/>
      <c r="I68"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68" s="21" t="str">
        <f>IFERROR(__xludf.DUMMYFUNCTION("""COMPUTED_VALUE"""),"")</f>
        <v/>
      </c>
      <c r="K68" s="21" t="str">
        <f>IFERROR(__xludf.DUMMYFUNCTION("""COMPUTED_VALUE"""),"")</f>
        <v/>
      </c>
      <c r="L68" s="21" t="str">
        <f>IFERROR(__xludf.DUMMYFUNCTION("""COMPUTED_VALUE"""),"まゆさん")</f>
        <v>まゆさん</v>
      </c>
      <c r="N68" s="23" t="b">
        <f>IFERROR(__xludf.DUMMYFUNCTION("""COMPUTED_VALUE"""),FALSE)</f>
        <v>0</v>
      </c>
      <c r="O68" s="23" t="str">
        <f>IFERROR(__xludf.DUMMYFUNCTION("""COMPUTED_VALUE"""),"じゃらん")</f>
        <v>じゃらん</v>
      </c>
      <c r="P68" s="23">
        <f>IFERROR(__xludf.DUMMYFUNCTION("""COMPUTED_VALUE"""),4.0)</f>
        <v>4</v>
      </c>
      <c r="Q68" s="25">
        <f>IFERROR(__xludf.DUMMYFUNCTION("""COMPUTED_VALUE"""),46104.0)</f>
        <v>46104</v>
      </c>
      <c r="R68"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68" s="23"/>
      <c r="T68" s="23"/>
      <c r="U68"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68" s="23" t="str">
        <f>IFERROR(__xludf.DUMMYFUNCTION("""COMPUTED_VALUE"""),"")</f>
        <v/>
      </c>
      <c r="W68" s="23" t="str">
        <f>IFERROR(__xludf.DUMMYFUNCTION("""COMPUTED_VALUE"""),"")</f>
        <v/>
      </c>
      <c r="X68" s="23" t="str">
        <f>IFERROR(__xludf.DUMMYFUNCTION("""COMPUTED_VALUE"""),"まゆさん")</f>
        <v>まゆさん</v>
      </c>
    </row>
    <row r="69">
      <c r="B69" s="21" t="b">
        <f>IFERROR(__xludf.DUMMYFUNCTION("""COMPUTED_VALUE"""),FALSE)</f>
        <v>0</v>
      </c>
      <c r="C69" s="21" t="str">
        <f>IFERROR(__xludf.DUMMYFUNCTION("""COMPUTED_VALUE"""),"楽天トラベル")</f>
        <v>楽天トラベル</v>
      </c>
      <c r="D69" s="21">
        <f>IFERROR(__xludf.DUMMYFUNCTION("""COMPUTED_VALUE"""),3.0)</f>
        <v>3</v>
      </c>
      <c r="E69" s="22">
        <f>IFERROR(__xludf.DUMMYFUNCTION("""COMPUTED_VALUE"""),46103.0)</f>
        <v>46103</v>
      </c>
      <c r="F69" s="21" t="str">
        <f>IFERROR(__xludf.DUMMYFUNCTION("""COMPUTED_VALUE"""),"割り箸をフロントでいただいて大変助かりました")</f>
        <v>割り箸をフロントでいただいて大変助かりました</v>
      </c>
      <c r="G69" s="21"/>
      <c r="H69" s="21"/>
      <c r="I69" s="21" t="str">
        <f>IFERROR(__xludf.DUMMYFUNCTION("""COMPUTED_VALUE"""),"割り箸をフロントでいただいて大変助かりました")</f>
        <v>割り箸をフロントでいただいて大変助かりました</v>
      </c>
      <c r="J69" s="21" t="str">
        <f>IFERROR(__xludf.DUMMYFUNCTION("""COMPUTED_VALUE"""),"")</f>
        <v/>
      </c>
      <c r="K69" s="21" t="str">
        <f>IFERROR(__xludf.DUMMYFUNCTION("""COMPUTED_VALUE"""),"")</f>
        <v/>
      </c>
      <c r="L69" s="21" t="str">
        <f>IFERROR(__xludf.DUMMYFUNCTION("""COMPUTED_VALUE"""),"yamato391106")</f>
        <v>yamato391106</v>
      </c>
      <c r="N69" s="23" t="b">
        <f>IFERROR(__xludf.DUMMYFUNCTION("""COMPUTED_VALUE"""),FALSE)</f>
        <v>0</v>
      </c>
      <c r="O69" s="23" t="str">
        <f>IFERROR(__xludf.DUMMYFUNCTION("""COMPUTED_VALUE"""),"楽天トラベル")</f>
        <v>楽天トラベル</v>
      </c>
      <c r="P69" s="23">
        <f>IFERROR(__xludf.DUMMYFUNCTION("""COMPUTED_VALUE"""),3.0)</f>
        <v>3</v>
      </c>
      <c r="Q69" s="25">
        <f>IFERROR(__xludf.DUMMYFUNCTION("""COMPUTED_VALUE"""),46103.0)</f>
        <v>46103</v>
      </c>
      <c r="R69" s="23" t="str">
        <f>IFERROR(__xludf.DUMMYFUNCTION("""COMPUTED_VALUE"""),"割り箸をフロントでいただいて大変助かりました")</f>
        <v>割り箸をフロントでいただいて大変助かりました</v>
      </c>
      <c r="S69" s="23"/>
      <c r="T69" s="23"/>
      <c r="U69" s="23" t="str">
        <f>IFERROR(__xludf.DUMMYFUNCTION("""COMPUTED_VALUE"""),"割り箸をフロントでいただいて大変助かりました")</f>
        <v>割り箸をフロントでいただいて大変助かりました</v>
      </c>
      <c r="V69" s="23" t="str">
        <f>IFERROR(__xludf.DUMMYFUNCTION("""COMPUTED_VALUE"""),"")</f>
        <v/>
      </c>
      <c r="W69" s="23" t="str">
        <f>IFERROR(__xludf.DUMMYFUNCTION("""COMPUTED_VALUE"""),"")</f>
        <v/>
      </c>
      <c r="X69" s="23" t="str">
        <f>IFERROR(__xludf.DUMMYFUNCTION("""COMPUTED_VALUE"""),"yamato391106")</f>
        <v>yamato391106</v>
      </c>
    </row>
    <row r="70">
      <c r="B70" s="21" t="b">
        <f>IFERROR(__xludf.DUMMYFUNCTION("""COMPUTED_VALUE"""),FALSE)</f>
        <v>0</v>
      </c>
      <c r="C70" s="21" t="str">
        <f>IFERROR(__xludf.DUMMYFUNCTION("""COMPUTED_VALUE"""),"楽天トラベル")</f>
        <v>楽天トラベル</v>
      </c>
      <c r="D70" s="21">
        <f>IFERROR(__xludf.DUMMYFUNCTION("""COMPUTED_VALUE"""),5.0)</f>
        <v>5</v>
      </c>
      <c r="E70" s="22">
        <f>IFERROR(__xludf.DUMMYFUNCTION("""COMPUTED_VALUE"""),46103.0)</f>
        <v>46103</v>
      </c>
      <c r="F70"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G70" s="21"/>
      <c r="H70" s="21"/>
      <c r="I70" s="21"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J70" s="21" t="str">
        <f>IFERROR(__xludf.DUMMYFUNCTION("""COMPUTED_VALUE"""),"")</f>
        <v/>
      </c>
      <c r="K70" s="21" t="str">
        <f>IFERROR(__xludf.DUMMYFUNCTION("""COMPUTED_VALUE"""),"")</f>
        <v/>
      </c>
      <c r="L70" s="21" t="str">
        <f>IFERROR(__xludf.DUMMYFUNCTION("""COMPUTED_VALUE"""),"ジョナジョナ")</f>
        <v>ジョナジョナ</v>
      </c>
      <c r="N70" s="23" t="b">
        <f>IFERROR(__xludf.DUMMYFUNCTION("""COMPUTED_VALUE"""),FALSE)</f>
        <v>0</v>
      </c>
      <c r="O70" s="23" t="str">
        <f>IFERROR(__xludf.DUMMYFUNCTION("""COMPUTED_VALUE"""),"楽天トラベル")</f>
        <v>楽天トラベル</v>
      </c>
      <c r="P70" s="23">
        <f>IFERROR(__xludf.DUMMYFUNCTION("""COMPUTED_VALUE"""),5.0)</f>
        <v>5</v>
      </c>
      <c r="Q70" s="25">
        <f>IFERROR(__xludf.DUMMYFUNCTION("""COMPUTED_VALUE"""),46103.0)</f>
        <v>46103</v>
      </c>
      <c r="R70"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S70" s="23"/>
      <c r="T70" s="23"/>
      <c r="U70" s="23" t="str">
        <f>IFERROR(__xludf.DUMMYFUNCTION("""COMPUTED_VALUE"""),"有明アリーナでのライブ後に利用しました。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amp;"て部屋は１７階で窓からは綺麗な景色が堪能出来ました。個人的に洗面所にウォッシュタオルが置いてあったのが地味に嬉しかったです。機会があればまた是非利用したいです！")</f>
        <v>有明アリーナでのライブ後に利用しました。 乗り換えは面倒なのでりんかい線最寄駅の東雲駅まで徒歩（２０分位?）で向かい、品川シーサイド駅まで乗車。A出口からすぐホテルがあるのでとても助かりました。目の前にはイオンがあるので買い物も出来て、そのすぐ隣にあるオーバルガーデンにはコンビニが集結しているので夜遅くなっても安心して買い物が出来てとても利便性がいいなと思いました。ライブ前に荷物を預けに行くと感じの良いスタッフさんが対応してくれて、ついでにチェックインも済ませることが出来て全てがスムーズに済みました。そして部屋は１７階で窓からは綺麗な景色が堪能出来ました。個人的に洗面所にウォッシュタオルが置いてあったのが地味に嬉しかったです。機会があればまた是非利用したいです！</v>
      </c>
      <c r="V70" s="23" t="str">
        <f>IFERROR(__xludf.DUMMYFUNCTION("""COMPUTED_VALUE"""),"")</f>
        <v/>
      </c>
      <c r="W70" s="23" t="str">
        <f>IFERROR(__xludf.DUMMYFUNCTION("""COMPUTED_VALUE"""),"")</f>
        <v/>
      </c>
      <c r="X70" s="23" t="str">
        <f>IFERROR(__xludf.DUMMYFUNCTION("""COMPUTED_VALUE"""),"ジョナジョナ")</f>
        <v>ジョナジョナ</v>
      </c>
    </row>
    <row r="71">
      <c r="B71" s="21" t="b">
        <f>IFERROR(__xludf.DUMMYFUNCTION("""COMPUTED_VALUE"""),FALSE)</f>
        <v>0</v>
      </c>
      <c r="C71" s="20" t="str">
        <f>IFERROR(__xludf.DUMMYFUNCTION("""COMPUTED_VALUE"""),"Booking.com")</f>
        <v>Booking.com</v>
      </c>
      <c r="D71" s="21">
        <f>IFERROR(__xludf.DUMMYFUNCTION("""COMPUTED_VALUE"""),10.0)</f>
        <v>10</v>
      </c>
      <c r="E71" s="22">
        <f>IFERROR(__xludf.DUMMYFUNCTION("""COMPUTED_VALUE"""),46103.0)</f>
        <v>46103</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IFERROR(__xludf.DUMMYFUNCTION("""COMPUTED_VALUE"""),"Khin")</f>
        <v>Khin</v>
      </c>
      <c r="N71" s="23" t="b">
        <f>IFERROR(__xludf.DUMMYFUNCTION("""COMPUTED_VALUE"""),FALSE)</f>
        <v>0</v>
      </c>
      <c r="O71" s="24" t="str">
        <f>IFERROR(__xludf.DUMMYFUNCTION("""COMPUTED_VALUE"""),"Booking.com")</f>
        <v>Booking.com</v>
      </c>
      <c r="P71" s="23">
        <f>IFERROR(__xludf.DUMMYFUNCTION("""COMPUTED_VALUE"""),10.0)</f>
        <v>10</v>
      </c>
      <c r="Q71" s="25">
        <f>IFERROR(__xludf.DUMMYFUNCTION("""COMPUTED_VALUE"""),46103.0)</f>
        <v>46103</v>
      </c>
      <c r="R71" s="23"/>
      <c r="S71" s="23"/>
      <c r="T71" s="23"/>
      <c r="U71" s="23" t="str">
        <f>IFERROR(__xludf.DUMMYFUNCTION("""COMPUTED_VALUE"""),"")</f>
        <v/>
      </c>
      <c r="V71" s="23" t="str">
        <f>IFERROR(__xludf.DUMMYFUNCTION("""COMPUTED_VALUE"""),"")</f>
        <v/>
      </c>
      <c r="W71" s="23" t="str">
        <f>IFERROR(__xludf.DUMMYFUNCTION("""COMPUTED_VALUE"""),"")</f>
        <v/>
      </c>
      <c r="X71" s="23" t="str">
        <f>IFERROR(__xludf.DUMMYFUNCTION("""COMPUTED_VALUE"""),"Khin")</f>
        <v>Khin</v>
      </c>
    </row>
    <row r="72">
      <c r="B72" s="21" t="b">
        <f>IFERROR(__xludf.DUMMYFUNCTION("""COMPUTED_VALUE"""),FALSE)</f>
        <v>0</v>
      </c>
      <c r="C72" s="20" t="str">
        <f>IFERROR(__xludf.DUMMYFUNCTION("""COMPUTED_VALUE"""),"Booking.com")</f>
        <v>Booking.com</v>
      </c>
      <c r="D72" s="21">
        <f>IFERROR(__xludf.DUMMYFUNCTION("""COMPUTED_VALUE"""),10.0)</f>
        <v>10</v>
      </c>
      <c r="E72" s="22">
        <f>IFERROR(__xludf.DUMMYFUNCTION("""COMPUTED_VALUE"""),46103.0)</f>
        <v>46103</v>
      </c>
      <c r="F72" s="21"/>
      <c r="G72" s="21"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H72" s="21"/>
      <c r="I72" s="21" t="str">
        <f>IFERROR(__xludf.DUMMYFUNCTION("""COMPUTED_VALUE"""),"")</f>
        <v/>
      </c>
      <c r="J72" s="21"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K72" s="21" t="str">
        <f>IFERROR(__xludf.DUMMYFUNCTION("""COMPUTED_VALUE"""),"")</f>
        <v/>
      </c>
      <c r="L72" s="21" t="str">
        <f>IFERROR(__xludf.DUMMYFUNCTION("""COMPUTED_VALUE"""),"Veronica")</f>
        <v>Veronica</v>
      </c>
      <c r="N72" s="23" t="b">
        <f>IFERROR(__xludf.DUMMYFUNCTION("""COMPUTED_VALUE"""),FALSE)</f>
        <v>0</v>
      </c>
      <c r="O72" s="24" t="str">
        <f>IFERROR(__xludf.DUMMYFUNCTION("""COMPUTED_VALUE"""),"Booking.com")</f>
        <v>Booking.com</v>
      </c>
      <c r="P72" s="23">
        <f>IFERROR(__xludf.DUMMYFUNCTION("""COMPUTED_VALUE"""),10.0)</f>
        <v>10</v>
      </c>
      <c r="Q72" s="25">
        <f>IFERROR(__xludf.DUMMYFUNCTION("""COMPUTED_VALUE"""),46103.0)</f>
        <v>46103</v>
      </c>
      <c r="R72" s="23"/>
      <c r="S72" s="23" t="str">
        <f>IFERROR(__xludf.DUMMYFUNCTION("""COMPUTED_VALUE"""),"There's a direct bus to the airport that leaves from just down the road, which was helpful for our early morning flight. The hotel itself was great, and the staff were lovely.")</f>
        <v>There's a direct bus to the airport that leaves from just down the road, which was helpful for our early morning flight. The hotel itself was great, and the staff were lovely.</v>
      </c>
      <c r="T72" s="23"/>
      <c r="U72" s="23" t="str">
        <f>IFERROR(__xludf.DUMMYFUNCTION("""COMPUTED_VALUE"""),"")</f>
        <v/>
      </c>
      <c r="V72" s="23" t="str">
        <f>IFERROR(__xludf.DUMMYFUNCTION("""COMPUTED_VALUE"""),"すぐ近くに空港行きの直通バスが出ていて、早朝便を利用する私たちにとってはとても助かりました。ホテル自体も素晴らしく、スタッフの方々も親切でした。")</f>
        <v>すぐ近くに空港行きの直通バスが出ていて、早朝便を利用する私たちにとってはとても助かりました。ホテル自体も素晴らしく、スタッフの方々も親切でした。</v>
      </c>
      <c r="W72" s="23" t="str">
        <f>IFERROR(__xludf.DUMMYFUNCTION("""COMPUTED_VALUE"""),"")</f>
        <v/>
      </c>
      <c r="X72" s="23" t="str">
        <f>IFERROR(__xludf.DUMMYFUNCTION("""COMPUTED_VALUE"""),"Veronica")</f>
        <v>Veronica</v>
      </c>
    </row>
    <row r="73">
      <c r="B73" s="21" t="b">
        <f>IFERROR(__xludf.DUMMYFUNCTION("""COMPUTED_VALUE"""),FALSE)</f>
        <v>0</v>
      </c>
      <c r="C73" s="21" t="str">
        <f>IFERROR(__xludf.DUMMYFUNCTION("""COMPUTED_VALUE"""),"楽天トラベル")</f>
        <v>楽天トラベル</v>
      </c>
      <c r="D73" s="21">
        <f>IFERROR(__xludf.DUMMYFUNCTION("""COMPUTED_VALUE"""),5.0)</f>
        <v>5</v>
      </c>
      <c r="E73" s="22">
        <f>IFERROR(__xludf.DUMMYFUNCTION("""COMPUTED_VALUE"""),46103.0)</f>
        <v>46103</v>
      </c>
      <c r="F73" s="21"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G73" s="21"/>
      <c r="H73" s="21"/>
      <c r="I73" s="21"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J73" s="21" t="str">
        <f>IFERROR(__xludf.DUMMYFUNCTION("""COMPUTED_VALUE"""),"")</f>
        <v/>
      </c>
      <c r="K73" s="21" t="str">
        <f>IFERROR(__xludf.DUMMYFUNCTION("""COMPUTED_VALUE"""),"")</f>
        <v/>
      </c>
      <c r="L73" s="21" t="str">
        <f>IFERROR(__xludf.DUMMYFUNCTION("""COMPUTED_VALUE"""),"あーどん8225")</f>
        <v>あーどん8225</v>
      </c>
      <c r="N73" s="23" t="b">
        <f>IFERROR(__xludf.DUMMYFUNCTION("""COMPUTED_VALUE"""),FALSE)</f>
        <v>0</v>
      </c>
      <c r="O73" s="23" t="str">
        <f>IFERROR(__xludf.DUMMYFUNCTION("""COMPUTED_VALUE"""),"楽天トラベル")</f>
        <v>楽天トラベル</v>
      </c>
      <c r="P73" s="23">
        <f>IFERROR(__xludf.DUMMYFUNCTION("""COMPUTED_VALUE"""),5.0)</f>
        <v>5</v>
      </c>
      <c r="Q73" s="25">
        <f>IFERROR(__xludf.DUMMYFUNCTION("""COMPUTED_VALUE"""),46103.0)</f>
        <v>46103</v>
      </c>
      <c r="R73" s="23"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S73" s="23"/>
      <c r="T73" s="23"/>
      <c r="U73" s="23" t="str">
        <f>IFERROR(__xludf.DUMMYFUNCTION("""COMPUTED_VALUE"""),"駅近で、翌日羽田空港まで電車で行こうと思っていましたが、ダイヤが乱れていて、急遽シャトルバスに変更しました。バス停もすぐそばで楽でした。交通に選択肢があることは安心材料です。部屋も快適でした。")</f>
        <v>駅近で、翌日羽田空港まで電車で行こうと思っていましたが、ダイヤが乱れていて、急遽シャトルバスに変更しました。バス停もすぐそばで楽でした。交通に選択肢があることは安心材料です。部屋も快適でした。</v>
      </c>
      <c r="V73" s="23" t="str">
        <f>IFERROR(__xludf.DUMMYFUNCTION("""COMPUTED_VALUE"""),"")</f>
        <v/>
      </c>
      <c r="W73" s="23" t="str">
        <f>IFERROR(__xludf.DUMMYFUNCTION("""COMPUTED_VALUE"""),"")</f>
        <v/>
      </c>
      <c r="X73" s="23" t="str">
        <f>IFERROR(__xludf.DUMMYFUNCTION("""COMPUTED_VALUE"""),"あーどん8225")</f>
        <v>あーどん8225</v>
      </c>
    </row>
    <row r="74">
      <c r="B74" s="21" t="b">
        <f>IFERROR(__xludf.DUMMYFUNCTION("""COMPUTED_VALUE"""),FALSE)</f>
        <v>0</v>
      </c>
      <c r="C74" s="20" t="str">
        <f>IFERROR(__xludf.DUMMYFUNCTION("""COMPUTED_VALUE"""),"Trip.com")</f>
        <v>Trip.com</v>
      </c>
      <c r="D74" s="21">
        <f>IFERROR(__xludf.DUMMYFUNCTION("""COMPUTED_VALUE"""),10.0)</f>
        <v>10</v>
      </c>
      <c r="E74" s="22">
        <f>IFERROR(__xludf.DUMMYFUNCTION("""COMPUTED_VALUE"""),46103.0)</f>
        <v>46103</v>
      </c>
      <c r="F74" s="21" t="str">
        <f>IFERROR(__xludf.DUMMYFUNCTION("""COMPUTED_VALUE"""),"Affordable hotel stayed 6 nights room was small but worked well for 2 people staff speak English and very helpful laundry service in the basement . Drink vending machine , ice cream vending machine , currency exchange, smoke room .  train station across t"&amp;"he street 2 min walk Aeon mall across the street as well lots of restaurant , family mart 7 eleven , fishing store . Great area to stay . Will definitely be back")</f>
        <v>Affordable hotel stayed 6 nights room was small but worked well for 2 people staff speak English and very helpful laundry service in the basement . Drink vending machine , ice cream vending machine , currency exchange, smoke room .  train station across the street 2 min walk Aeon mall across the street as well lots of restaurant , family mart 7 eleven , fishing store . Great area to stay . Will definitely be back</v>
      </c>
      <c r="G74" s="21"/>
      <c r="H74" s="21"/>
      <c r="I74" s="21" t="str">
        <f>IFERROR(__xludf.DUMMYFUNCTION("""COMPUTED_VALUE"""),"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泊まりに来ます。")</f>
        <v>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泊まりに来ます。</v>
      </c>
      <c r="J74" s="21" t="str">
        <f>IFERROR(__xludf.DUMMYFUNCTION("""COMPUTED_VALUE"""),"")</f>
        <v/>
      </c>
      <c r="K74" s="21" t="str">
        <f>IFERROR(__xludf.DUMMYFUNCTION("""COMPUTED_VALUE"""),"")</f>
        <v/>
      </c>
      <c r="L74" s="21" t="str">
        <f>IFERROR(__xludf.DUMMYFUNCTION("""COMPUTED_VALUE"""),"ゲ‍ス‍ト")</f>
        <v>ゲ‍ス‍ト</v>
      </c>
      <c r="N74" s="23" t="b">
        <f>IFERROR(__xludf.DUMMYFUNCTION("""COMPUTED_VALUE"""),FALSE)</f>
        <v>0</v>
      </c>
      <c r="O74" s="24" t="str">
        <f>IFERROR(__xludf.DUMMYFUNCTION("""COMPUTED_VALUE"""),"Trip.com")</f>
        <v>Trip.com</v>
      </c>
      <c r="P74" s="23">
        <f>IFERROR(__xludf.DUMMYFUNCTION("""COMPUTED_VALUE"""),10.0)</f>
        <v>10</v>
      </c>
      <c r="Q74" s="25">
        <f>IFERROR(__xludf.DUMMYFUNCTION("""COMPUTED_VALUE"""),46103.0)</f>
        <v>46103</v>
      </c>
      <c r="R74" s="23" t="str">
        <f>IFERROR(__xludf.DUMMYFUNCTION("""COMPUTED_VALUE"""),"Affordable hotel stayed 6 nights room was small but worked well for 2 people staff speak English and very helpful laundry service in the basement . Drink vending machine , ice cream vending machine , currency exchange, smoke room .  train station across t"&amp;"he street 2 min walk Aeon mall across the street as well lots of restaurant , family mart 7 eleven , fishing store . Great area to stay . Will definitely be back")</f>
        <v>Affordable hotel stayed 6 nights room was small but worked well for 2 people staff speak English and very helpful laundry service in the basement . Drink vending machine , ice cream vending machine , currency exchange, smoke room .  train station across the street 2 min walk Aeon mall across the street as well lots of restaurant , family mart 7 eleven , fishing store . Great area to stay . Will definitely be back</v>
      </c>
      <c r="S74" s="23"/>
      <c r="T74" s="23"/>
      <c r="U74" s="23" t="str">
        <f>IFERROR(__xludf.DUMMYFUNCTION("""COMPUTED_VALUE"""),"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泊まりに来ます。")</f>
        <v>手頃な価格のホテルで6泊しました。部屋は小さかったですが、2人には十分でした。スタッフは英語を話し、とても親切でした。地下にはランドリーサービスがあります。飲み物の自動販売機、アイスクリームの自動販売機、両替所、喫煙室があります。通りの向かいには駅があり、徒歩2分です。イオンモールも通りの向かいにあり、レストラン、ファミリーマート、セブンイレブン、釣り具店などがたくさんあります。滞在するには最高のエリアです。必ずまた泊まりに来ます。</v>
      </c>
      <c r="V74" s="23" t="str">
        <f>IFERROR(__xludf.DUMMYFUNCTION("""COMPUTED_VALUE"""),"")</f>
        <v/>
      </c>
      <c r="W74" s="23" t="str">
        <f>IFERROR(__xludf.DUMMYFUNCTION("""COMPUTED_VALUE"""),"")</f>
        <v/>
      </c>
      <c r="X74" s="23" t="str">
        <f>IFERROR(__xludf.DUMMYFUNCTION("""COMPUTED_VALUE"""),"ゲ‍ス‍ト")</f>
        <v>ゲ‍ス‍ト</v>
      </c>
    </row>
    <row r="75">
      <c r="B75" s="21" t="b">
        <f>IFERROR(__xludf.DUMMYFUNCTION("""COMPUTED_VALUE"""),FALSE)</f>
        <v>0</v>
      </c>
      <c r="C75" s="21" t="str">
        <f>IFERROR(__xludf.DUMMYFUNCTION("""COMPUTED_VALUE"""),"じゃらん")</f>
        <v>じゃらん</v>
      </c>
      <c r="D75" s="21">
        <f>IFERROR(__xludf.DUMMYFUNCTION("""COMPUTED_VALUE"""),4.0)</f>
        <v>4</v>
      </c>
      <c r="E75" s="22">
        <f>IFERROR(__xludf.DUMMYFUNCTION("""COMPUTED_VALUE"""),46103.0)</f>
        <v>46103</v>
      </c>
      <c r="F75" s="21"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G75" s="21"/>
      <c r="H75" s="21"/>
      <c r="I75" s="21"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J75" s="21" t="str">
        <f>IFERROR(__xludf.DUMMYFUNCTION("""COMPUTED_VALUE"""),"")</f>
        <v/>
      </c>
      <c r="K75" s="21" t="str">
        <f>IFERROR(__xludf.DUMMYFUNCTION("""COMPUTED_VALUE"""),"")</f>
        <v/>
      </c>
      <c r="L75" s="21" t="str">
        <f>IFERROR(__xludf.DUMMYFUNCTION("""COMPUTED_VALUE"""),"サラダさん")</f>
        <v>サラダさん</v>
      </c>
      <c r="N75" s="23" t="b">
        <f>IFERROR(__xludf.DUMMYFUNCTION("""COMPUTED_VALUE"""),FALSE)</f>
        <v>0</v>
      </c>
      <c r="O75" s="23" t="str">
        <f>IFERROR(__xludf.DUMMYFUNCTION("""COMPUTED_VALUE"""),"じゃらん")</f>
        <v>じゃらん</v>
      </c>
      <c r="P75" s="23">
        <f>IFERROR(__xludf.DUMMYFUNCTION("""COMPUTED_VALUE"""),4.0)</f>
        <v>4</v>
      </c>
      <c r="Q75" s="25">
        <f>IFERROR(__xludf.DUMMYFUNCTION("""COMPUTED_VALUE"""),46103.0)</f>
        <v>46103</v>
      </c>
      <c r="R75" s="23"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S75" s="23"/>
      <c r="T75" s="23"/>
      <c r="U75" s="23" t="str">
        <f>IFERROR(__xludf.DUMMYFUNCTION("""COMPUTED_VALUE"""),"2回目の利用になります！夫婦で泊まりました。駅チカでリーズナブルで大好きです。また次回もぜひ泊まりたいです。")</f>
        <v>2回目の利用になります！夫婦で泊まりました。駅チカでリーズナブルで大好きです。また次回もぜひ泊まりたいです。</v>
      </c>
      <c r="V75" s="23" t="str">
        <f>IFERROR(__xludf.DUMMYFUNCTION("""COMPUTED_VALUE"""),"")</f>
        <v/>
      </c>
      <c r="W75" s="23" t="str">
        <f>IFERROR(__xludf.DUMMYFUNCTION("""COMPUTED_VALUE"""),"")</f>
        <v/>
      </c>
      <c r="X75" s="23" t="str">
        <f>IFERROR(__xludf.DUMMYFUNCTION("""COMPUTED_VALUE"""),"サラダさん")</f>
        <v>サラダさん</v>
      </c>
    </row>
    <row r="76">
      <c r="B76" s="21" t="b">
        <f>IFERROR(__xludf.DUMMYFUNCTION("""COMPUTED_VALUE"""),FALSE)</f>
        <v>0</v>
      </c>
      <c r="C76" s="21" t="str">
        <f>IFERROR(__xludf.DUMMYFUNCTION("""COMPUTED_VALUE"""),"じゃらん")</f>
        <v>じゃらん</v>
      </c>
      <c r="D76" s="21">
        <f>IFERROR(__xludf.DUMMYFUNCTION("""COMPUTED_VALUE"""),5.0)</f>
        <v>5</v>
      </c>
      <c r="E76" s="22">
        <f>IFERROR(__xludf.DUMMYFUNCTION("""COMPUTED_VALUE"""),46103.0)</f>
        <v>46103</v>
      </c>
      <c r="F76" s="21"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G76" s="21"/>
      <c r="H76" s="21"/>
      <c r="I76" s="21"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J76" s="21" t="str">
        <f>IFERROR(__xludf.DUMMYFUNCTION("""COMPUTED_VALUE"""),"")</f>
        <v/>
      </c>
      <c r="K76" s="21" t="str">
        <f>IFERROR(__xludf.DUMMYFUNCTION("""COMPUTED_VALUE"""),"")</f>
        <v/>
      </c>
      <c r="L76" s="21" t="str">
        <f>IFERROR(__xludf.DUMMYFUNCTION("""COMPUTED_VALUE"""),"まるピコさん")</f>
        <v>まるピコさん</v>
      </c>
      <c r="N76" s="23" t="b">
        <f>IFERROR(__xludf.DUMMYFUNCTION("""COMPUTED_VALUE"""),FALSE)</f>
        <v>0</v>
      </c>
      <c r="O76" s="23" t="str">
        <f>IFERROR(__xludf.DUMMYFUNCTION("""COMPUTED_VALUE"""),"じゃらん")</f>
        <v>じゃらん</v>
      </c>
      <c r="P76" s="23">
        <f>IFERROR(__xludf.DUMMYFUNCTION("""COMPUTED_VALUE"""),5.0)</f>
        <v>5</v>
      </c>
      <c r="Q76" s="25">
        <f>IFERROR(__xludf.DUMMYFUNCTION("""COMPUTED_VALUE"""),46103.0)</f>
        <v>46103</v>
      </c>
      <c r="R76" s="23"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S76" s="23"/>
      <c r="T76" s="23"/>
      <c r="U76" s="23" t="str">
        <f>IFERROR(__xludf.DUMMYFUNCTION("""COMPUTED_VALUE"""),"ギリギリで予約した東京旅行。まさかのトリプルの部屋で、場所を考えずに予約しました。  土地勘も無かったのですが、駅近、目の前で、イオンがあり、高層階で、よかったです。")</f>
        <v>ギリギリで予約した東京旅行。まさかのトリプルの部屋で、場所を考えずに予約しました。  土地勘も無かったのですが、駅近、目の前で、イオンがあり、高層階で、よかったです。</v>
      </c>
      <c r="V76" s="23" t="str">
        <f>IFERROR(__xludf.DUMMYFUNCTION("""COMPUTED_VALUE"""),"")</f>
        <v/>
      </c>
      <c r="W76" s="23" t="str">
        <f>IFERROR(__xludf.DUMMYFUNCTION("""COMPUTED_VALUE"""),"")</f>
        <v/>
      </c>
      <c r="X76" s="23" t="str">
        <f>IFERROR(__xludf.DUMMYFUNCTION("""COMPUTED_VALUE"""),"まるピコさん")</f>
        <v>まるピコさん</v>
      </c>
    </row>
    <row r="77">
      <c r="B77" s="21" t="b">
        <f>IFERROR(__xludf.DUMMYFUNCTION("""COMPUTED_VALUE"""),FALSE)</f>
        <v>0</v>
      </c>
      <c r="C77" s="21" t="str">
        <f>IFERROR(__xludf.DUMMYFUNCTION("""COMPUTED_VALUE"""),"じゃらん")</f>
        <v>じゃらん</v>
      </c>
      <c r="D77" s="21">
        <f>IFERROR(__xludf.DUMMYFUNCTION("""COMPUTED_VALUE"""),5.0)</f>
        <v>5</v>
      </c>
      <c r="E77" s="22">
        <f>IFERROR(__xludf.DUMMYFUNCTION("""COMPUTED_VALUE"""),46103.0)</f>
        <v>46103</v>
      </c>
      <c r="F77" s="21"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G77" s="21"/>
      <c r="H77" s="21"/>
      <c r="I77" s="21"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J77" s="21" t="str">
        <f>IFERROR(__xludf.DUMMYFUNCTION("""COMPUTED_VALUE"""),"")</f>
        <v/>
      </c>
      <c r="K77" s="21" t="str">
        <f>IFERROR(__xludf.DUMMYFUNCTION("""COMPUTED_VALUE"""),"")</f>
        <v/>
      </c>
      <c r="L77" s="21" t="str">
        <f>IFERROR(__xludf.DUMMYFUNCTION("""COMPUTED_VALUE"""),"DJさん")</f>
        <v>DJさん</v>
      </c>
      <c r="N77" s="23" t="b">
        <f>IFERROR(__xludf.DUMMYFUNCTION("""COMPUTED_VALUE"""),FALSE)</f>
        <v>0</v>
      </c>
      <c r="O77" s="23" t="str">
        <f>IFERROR(__xludf.DUMMYFUNCTION("""COMPUTED_VALUE"""),"じゃらん")</f>
        <v>じゃらん</v>
      </c>
      <c r="P77" s="23">
        <f>IFERROR(__xludf.DUMMYFUNCTION("""COMPUTED_VALUE"""),5.0)</f>
        <v>5</v>
      </c>
      <c r="Q77" s="25">
        <f>IFERROR(__xludf.DUMMYFUNCTION("""COMPUTED_VALUE"""),46103.0)</f>
        <v>46103</v>
      </c>
      <c r="R77" s="23"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S77" s="23"/>
      <c r="T77" s="23"/>
      <c r="U77" s="23" t="str">
        <f>IFERROR(__xludf.DUMMYFUNCTION("""COMPUTED_VALUE"""),"初めての利用でしたがホスピタリティーが溢れる接客、対応でした。  また旅行も兼ねて来る機会があれば行かせていただきたいと思います。  ありがとうございました。")</f>
        <v>初めての利用でしたがホスピタリティーが溢れる接客、対応でした。  また旅行も兼ねて来る機会があれば行かせていただきたいと思います。  ありがとうございました。</v>
      </c>
      <c r="V77" s="23" t="str">
        <f>IFERROR(__xludf.DUMMYFUNCTION("""COMPUTED_VALUE"""),"")</f>
        <v/>
      </c>
      <c r="W77" s="23" t="str">
        <f>IFERROR(__xludf.DUMMYFUNCTION("""COMPUTED_VALUE"""),"")</f>
        <v/>
      </c>
      <c r="X77" s="23" t="str">
        <f>IFERROR(__xludf.DUMMYFUNCTION("""COMPUTED_VALUE"""),"DJさん")</f>
        <v>DJさん</v>
      </c>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IFERROR(__xludf.DUMMYFUNCTION("""COMPUTED_VALUE"""),46102.0)</f>
        <v>46102</v>
      </c>
      <c r="F78" s="21"/>
      <c r="G78" s="21" t="str">
        <f>IFERROR(__xludf.DUMMYFUNCTION("""COMPUTED_VALUE"""),"Very close to the train station and the mall across the road for convenience. We stayed the one night when we’d arrived in Japan and it was great. Can’t fault it. The facilities were as needed. No complaints")</f>
        <v>Very close to the train station and the mall across the road for convenience. We stayed the one night when we’d arrived in Japan and it was great. Can’t fault it. The facilities were as needed. No complaints</v>
      </c>
      <c r="H78" s="21" t="str">
        <f>IFERROR(__xludf.DUMMYFUNCTION("""COMPUTED_VALUE"""),"I wouldn’t stay more than a few nights as the room was quite small. It’s a great pit stop for when arriving into or exiting the country but I know I wouldn’t be comfortable for more than a night.")</f>
        <v>I wouldn’t stay more than a few nights as the room was quite small. It’s a great pit stop for when arriving into or exiting the country but I know I wouldn’t be comfortable for more than a night.</v>
      </c>
      <c r="I78" s="21" t="str">
        <f>IFERROR(__xludf.DUMMYFUNCTION("""COMPUTED_VALUE"""),"")</f>
        <v/>
      </c>
      <c r="J78" s="21" t="str">
        <f>IFERROR(__xludf.DUMMYFUNCTION("""COMPUTED_VALUE"""),"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f>
        <v>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v>
      </c>
      <c r="K78" s="21" t="str">
        <f>IFERROR(__xludf.DUMMYFUNCTION("""COMPUTED_VALUE"""),"部屋がかなり狭かったので、数泊以上は滞在しないでしょう。入国時や出国時の休憩には最適ですが、一泊以上は快適に過ごせないと思います。")</f>
        <v>部屋がかなり狭かったので、数泊以上は滞在しないでしょう。入国時や出国時の休憩には最適ですが、一泊以上は快適に過ごせないと思います。</v>
      </c>
      <c r="L78" s="21" t="str">
        <f>IFERROR(__xludf.DUMMYFUNCTION("""COMPUTED_VALUE"""),"Daisylyn")</f>
        <v>Daisylyn</v>
      </c>
      <c r="N78" s="23" t="b">
        <f>IFERROR(__xludf.DUMMYFUNCTION("""COMPUTED_VALUE"""),FALSE)</f>
        <v>0</v>
      </c>
      <c r="O78" s="24" t="str">
        <f>IFERROR(__xludf.DUMMYFUNCTION("""COMPUTED_VALUE"""),"Booking.com")</f>
        <v>Booking.com</v>
      </c>
      <c r="P78" s="23">
        <f>IFERROR(__xludf.DUMMYFUNCTION("""COMPUTED_VALUE"""),8.0)</f>
        <v>8</v>
      </c>
      <c r="Q78" s="25">
        <f>IFERROR(__xludf.DUMMYFUNCTION("""COMPUTED_VALUE"""),46102.0)</f>
        <v>46102</v>
      </c>
      <c r="R78" s="23"/>
      <c r="S78" s="23" t="str">
        <f>IFERROR(__xludf.DUMMYFUNCTION("""COMPUTED_VALUE"""),"Very close to the train station and the mall across the road for convenience. We stayed the one night when we’d arrived in Japan and it was great. Can’t fault it. The facilities were as needed. No complaints")</f>
        <v>Very close to the train station and the mall across the road for convenience. We stayed the one night when we’d arrived in Japan and it was great. Can’t fault it. The facilities were as needed. No complaints</v>
      </c>
      <c r="T78" s="23" t="str">
        <f>IFERROR(__xludf.DUMMYFUNCTION("""COMPUTED_VALUE"""),"I wouldn’t stay more than a few nights as the room was quite small. It’s a great pit stop for when arriving into or exiting the country but I know I wouldn’t be comfortable for more than a night.")</f>
        <v>I wouldn’t stay more than a few nights as the room was quite small. It’s a great pit stop for when arriving into or exiting the country but I know I wouldn’t be comfortable for more than a night.</v>
      </c>
      <c r="U78" s="23" t="str">
        <f>IFERROR(__xludf.DUMMYFUNCTION("""COMPUTED_VALUE"""),"")</f>
        <v/>
      </c>
      <c r="V78" s="23" t="str">
        <f>IFERROR(__xludf.DUMMYFUNCTION("""COMPUTED_VALUE"""),"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f>
        <v>駅と道路を挟んで向かい側にあるショッピングモールにとても近くて便利でした。日本に到着した際に一泊しましたが、最高でした。文句のつけようがありません。必要な設備はすべて揃っていました。不満は一切ありません。</v>
      </c>
      <c r="W78" s="23" t="str">
        <f>IFERROR(__xludf.DUMMYFUNCTION("""COMPUTED_VALUE"""),"部屋がかなり狭かったので、数泊以上は滞在しないでしょう。入国時や出国時の休憩には最適ですが、一泊以上は快適に過ごせないと思います。")</f>
        <v>部屋がかなり狭かったので、数泊以上は滞在しないでしょう。入国時や出国時の休憩には最適ですが、一泊以上は快適に過ごせないと思います。</v>
      </c>
      <c r="X78" s="23" t="str">
        <f>IFERROR(__xludf.DUMMYFUNCTION("""COMPUTED_VALUE"""),"Daisylyn")</f>
        <v>Daisylyn</v>
      </c>
    </row>
    <row r="79">
      <c r="B79" s="21" t="b">
        <f>IFERROR(__xludf.DUMMYFUNCTION("""COMPUTED_VALUE"""),FALSE)</f>
        <v>0</v>
      </c>
      <c r="C79" s="21" t="str">
        <f>IFERROR(__xludf.DUMMYFUNCTION("""COMPUTED_VALUE"""),"楽天トラベル")</f>
        <v>楽天トラベル</v>
      </c>
      <c r="D79" s="21">
        <f>IFERROR(__xludf.DUMMYFUNCTION("""COMPUTED_VALUE"""),5.0)</f>
        <v>5</v>
      </c>
      <c r="E79" s="22">
        <f>IFERROR(__xludf.DUMMYFUNCTION("""COMPUTED_VALUE"""),46102.0)</f>
        <v>46102</v>
      </c>
      <c r="F79" s="21"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G79" s="21"/>
      <c r="H79" s="21"/>
      <c r="I79" s="21"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J79" s="21" t="str">
        <f>IFERROR(__xludf.DUMMYFUNCTION("""COMPUTED_VALUE"""),"")</f>
        <v/>
      </c>
      <c r="K79" s="21" t="str">
        <f>IFERROR(__xludf.DUMMYFUNCTION("""COMPUTED_VALUE"""),"")</f>
        <v/>
      </c>
      <c r="L79" s="21" t="str">
        <f>IFERROR(__xludf.DUMMYFUNCTION("""COMPUTED_VALUE"""),"じゃこ天丼")</f>
        <v>じゃこ天丼</v>
      </c>
      <c r="N79" s="23" t="b">
        <f>IFERROR(__xludf.DUMMYFUNCTION("""COMPUTED_VALUE"""),FALSE)</f>
        <v>0</v>
      </c>
      <c r="O79" s="23" t="str">
        <f>IFERROR(__xludf.DUMMYFUNCTION("""COMPUTED_VALUE"""),"楽天トラベル")</f>
        <v>楽天トラベル</v>
      </c>
      <c r="P79" s="23">
        <f>IFERROR(__xludf.DUMMYFUNCTION("""COMPUTED_VALUE"""),5.0)</f>
        <v>5</v>
      </c>
      <c r="Q79" s="25">
        <f>IFERROR(__xludf.DUMMYFUNCTION("""COMPUTED_VALUE"""),46102.0)</f>
        <v>46102</v>
      </c>
      <c r="R79" s="23"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S79" s="23"/>
      <c r="T79" s="23"/>
      <c r="U79" s="23" t="str">
        <f>IFERROR(__xludf.DUMMYFUNCTION("""COMPUTED_VALUE"""),"スタッフさんの接客がとても丁寧でした！近くに駅とイオンがあるので、利便性も良いかと思います！")</f>
        <v>スタッフさんの接客がとても丁寧でした！近くに駅とイオンがあるので、利便性も良いかと思います！</v>
      </c>
      <c r="V79" s="23" t="str">
        <f>IFERROR(__xludf.DUMMYFUNCTION("""COMPUTED_VALUE"""),"")</f>
        <v/>
      </c>
      <c r="W79" s="23" t="str">
        <f>IFERROR(__xludf.DUMMYFUNCTION("""COMPUTED_VALUE"""),"")</f>
        <v/>
      </c>
      <c r="X79" s="23" t="str">
        <f>IFERROR(__xludf.DUMMYFUNCTION("""COMPUTED_VALUE"""),"じゃこ天丼")</f>
        <v>じゃこ天丼</v>
      </c>
    </row>
    <row r="80">
      <c r="B80" s="21" t="b">
        <f>IFERROR(__xludf.DUMMYFUNCTION("""COMPUTED_VALUE"""),FALSE)</f>
        <v>0</v>
      </c>
      <c r="C80" s="20" t="str">
        <f>IFERROR(__xludf.DUMMYFUNCTION("""COMPUTED_VALUE"""),"Trip.com")</f>
        <v>Trip.com</v>
      </c>
      <c r="D80" s="21">
        <f>IFERROR(__xludf.DUMMYFUNCTION("""COMPUTED_VALUE"""),10.0)</f>
        <v>10</v>
      </c>
      <c r="E80" s="22">
        <f>IFERROR(__xludf.DUMMYFUNCTION("""COMPUTED_VALUE"""),46102.0)</f>
        <v>46102</v>
      </c>
      <c r="F80" s="21" t="str">
        <f>IFERROR(__xludf.DUMMYFUNCTION("""COMPUTED_VALUE"""),"Just right infront aeon")</f>
        <v>Just right infront aeon</v>
      </c>
      <c r="G80" s="21"/>
      <c r="H80" s="21"/>
      <c r="I80" s="21" t="str">
        <f>IFERROR(__xludf.DUMMYFUNCTION("""COMPUTED_VALUE"""),"イオンのすぐ目の前")</f>
        <v>イオンのすぐ目の前</v>
      </c>
      <c r="J80" s="21" t="str">
        <f>IFERROR(__xludf.DUMMYFUNCTION("""COMPUTED_VALUE"""),"")</f>
        <v/>
      </c>
      <c r="K80" s="21" t="str">
        <f>IFERROR(__xludf.DUMMYFUNCTION("""COMPUTED_VALUE"""),"")</f>
        <v/>
      </c>
      <c r="L80" s="21" t="str">
        <f>IFERROR(__xludf.DUMMYFUNCTION("""COMPUTED_VALUE"""),"ゲ‍ス‍ト")</f>
        <v>ゲ‍ス‍ト</v>
      </c>
      <c r="N80" s="23" t="b">
        <f>IFERROR(__xludf.DUMMYFUNCTION("""COMPUTED_VALUE"""),FALSE)</f>
        <v>0</v>
      </c>
      <c r="O80" s="24" t="str">
        <f>IFERROR(__xludf.DUMMYFUNCTION("""COMPUTED_VALUE"""),"Trip.com")</f>
        <v>Trip.com</v>
      </c>
      <c r="P80" s="23">
        <f>IFERROR(__xludf.DUMMYFUNCTION("""COMPUTED_VALUE"""),10.0)</f>
        <v>10</v>
      </c>
      <c r="Q80" s="25">
        <f>IFERROR(__xludf.DUMMYFUNCTION("""COMPUTED_VALUE"""),46102.0)</f>
        <v>46102</v>
      </c>
      <c r="R80" s="23" t="str">
        <f>IFERROR(__xludf.DUMMYFUNCTION("""COMPUTED_VALUE"""),"Just right infront aeon")</f>
        <v>Just right infront aeon</v>
      </c>
      <c r="S80" s="23"/>
      <c r="T80" s="23"/>
      <c r="U80" s="23" t="str">
        <f>IFERROR(__xludf.DUMMYFUNCTION("""COMPUTED_VALUE"""),"イオンのすぐ目の前")</f>
        <v>イオンのすぐ目の前</v>
      </c>
      <c r="V80" s="23" t="str">
        <f>IFERROR(__xludf.DUMMYFUNCTION("""COMPUTED_VALUE"""),"")</f>
        <v/>
      </c>
      <c r="W80" s="23" t="str">
        <f>IFERROR(__xludf.DUMMYFUNCTION("""COMPUTED_VALUE"""),"")</f>
        <v/>
      </c>
      <c r="X80" s="23" t="str">
        <f>IFERROR(__xludf.DUMMYFUNCTION("""COMPUTED_VALUE"""),"ゲ‍ス‍ト")</f>
        <v>ゲ‍ス‍ト</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プロフェッショナルで丁寧な毎日のハウスキーピングサービスも提供されてい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プロフェッショナルで丁寧な毎日のハウスキーピングサービスも提供されてい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プロフェッショナルで丁寧な毎日のハウスキーピングサービスも提供されてい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プロフェッショナルで丁寧な毎日のハウスキーピングサービスも提供されてい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10"/>
    <hyperlink r:id="rId5" ref="O10"/>
    <hyperlink r:id="rId6" ref="C12"/>
    <hyperlink r:id="rId7" ref="O12"/>
    <hyperlink r:id="rId8" ref="C13"/>
    <hyperlink r:id="rId9" ref="O13"/>
    <hyperlink r:id="rId10" ref="C14"/>
    <hyperlink r:id="rId11" ref="O14"/>
    <hyperlink r:id="rId12" ref="C15"/>
    <hyperlink r:id="rId13" ref="O15"/>
    <hyperlink r:id="rId14" ref="C18"/>
    <hyperlink r:id="rId15" ref="O18"/>
    <hyperlink r:id="rId16" ref="C23"/>
    <hyperlink r:id="rId17" ref="O23"/>
    <hyperlink r:id="rId18" ref="C24"/>
    <hyperlink r:id="rId19" ref="O24"/>
    <hyperlink r:id="rId20" ref="C25"/>
    <hyperlink r:id="rId21" ref="O25"/>
    <hyperlink r:id="rId22" ref="C26"/>
    <hyperlink r:id="rId23" ref="O26"/>
    <hyperlink r:id="rId24" ref="C27"/>
    <hyperlink r:id="rId25" ref="O27"/>
    <hyperlink r:id="rId26" ref="C28"/>
    <hyperlink r:id="rId27" ref="O28"/>
    <hyperlink r:id="rId28" ref="C29"/>
    <hyperlink r:id="rId29" ref="O29"/>
    <hyperlink r:id="rId30" ref="C30"/>
    <hyperlink r:id="rId31" ref="O30"/>
    <hyperlink r:id="rId32" ref="C31"/>
    <hyperlink r:id="rId33" ref="O31"/>
    <hyperlink r:id="rId34" ref="C32"/>
    <hyperlink r:id="rId35" ref="O32"/>
    <hyperlink r:id="rId36" ref="C35"/>
    <hyperlink r:id="rId37" ref="O35"/>
    <hyperlink r:id="rId38" ref="C36"/>
    <hyperlink r:id="rId39" ref="O36"/>
    <hyperlink r:id="rId40" ref="C41"/>
    <hyperlink r:id="rId41" ref="O41"/>
    <hyperlink r:id="rId42" ref="C42"/>
    <hyperlink r:id="rId43" ref="O42"/>
    <hyperlink r:id="rId44" ref="C43"/>
    <hyperlink r:id="rId45" ref="O43"/>
    <hyperlink r:id="rId46" ref="C44"/>
    <hyperlink r:id="rId47" ref="O44"/>
    <hyperlink r:id="rId48" ref="C52"/>
    <hyperlink r:id="rId49" ref="O52"/>
    <hyperlink r:id="rId50" ref="C53"/>
    <hyperlink r:id="rId51" ref="O53"/>
    <hyperlink r:id="rId52" ref="C55"/>
    <hyperlink r:id="rId53" ref="O55"/>
    <hyperlink r:id="rId54" ref="C56"/>
    <hyperlink r:id="rId55" ref="O56"/>
    <hyperlink r:id="rId56" ref="C58"/>
    <hyperlink r:id="rId57" ref="O58"/>
    <hyperlink r:id="rId58" ref="C59"/>
    <hyperlink r:id="rId59" ref="O59"/>
    <hyperlink r:id="rId60" ref="C62"/>
    <hyperlink r:id="rId61" ref="O62"/>
    <hyperlink r:id="rId62" ref="C67"/>
    <hyperlink r:id="rId63" ref="O67"/>
    <hyperlink r:id="rId64" ref="C71"/>
    <hyperlink r:id="rId65" ref="O71"/>
    <hyperlink r:id="rId66" ref="C72"/>
    <hyperlink r:id="rId67" ref="O72"/>
    <hyperlink r:id="rId68" ref="C74"/>
    <hyperlink r:id="rId69" ref="O74"/>
    <hyperlink r:id="rId70" ref="C78"/>
    <hyperlink r:id="rId71" ref="O78"/>
    <hyperlink r:id="rId72" ref="C80"/>
    <hyperlink r:id="rId73" ref="O80"/>
    <hyperlink r:id="rId74" ref="C81"/>
    <hyperlink r:id="rId75" ref="C83"/>
    <hyperlink r:id="rId76" ref="C84"/>
    <hyperlink r:id="rId77" ref="C88"/>
    <hyperlink r:id="rId78" ref="C96"/>
    <hyperlink r:id="rId79" ref="C99"/>
    <hyperlink r:id="rId80" ref="O101"/>
    <hyperlink r:id="rId81" ref="C102"/>
    <hyperlink r:id="rId82" ref="C103"/>
    <hyperlink r:id="rId83" ref="O103"/>
    <hyperlink r:id="rId84" ref="O104"/>
    <hyperlink r:id="rId85" ref="O108"/>
    <hyperlink r:id="rId86" ref="C110"/>
    <hyperlink r:id="rId87" ref="C112"/>
    <hyperlink r:id="rId88" ref="C114"/>
    <hyperlink r:id="rId89" ref="C115"/>
    <hyperlink r:id="rId90" ref="C116"/>
    <hyperlink r:id="rId91" ref="O116"/>
    <hyperlink r:id="rId92" ref="C117"/>
    <hyperlink r:id="rId93" ref="O119"/>
    <hyperlink r:id="rId94" ref="O122"/>
    <hyperlink r:id="rId95" ref="O123"/>
    <hyperlink r:id="rId96" ref="C124"/>
    <hyperlink r:id="rId97" ref="C125"/>
    <hyperlink r:id="rId98" ref="C127"/>
    <hyperlink r:id="rId99" ref="C129"/>
    <hyperlink r:id="rId100" ref="O130"/>
    <hyperlink r:id="rId101" ref="C132"/>
    <hyperlink r:id="rId102" ref="O132"/>
    <hyperlink r:id="rId103" ref="O134"/>
    <hyperlink r:id="rId104" ref="O135"/>
    <hyperlink r:id="rId105" ref="O136"/>
    <hyperlink r:id="rId106" ref="O137"/>
    <hyperlink r:id="rId107" ref="C141"/>
    <hyperlink r:id="rId108" ref="O144"/>
    <hyperlink r:id="rId109" ref="C145"/>
    <hyperlink r:id="rId110" ref="O145"/>
    <hyperlink r:id="rId111" ref="C146"/>
    <hyperlink r:id="rId112" ref="C147"/>
    <hyperlink r:id="rId113" ref="O147"/>
    <hyperlink r:id="rId114" ref="O149"/>
    <hyperlink r:id="rId115" ref="C150"/>
    <hyperlink r:id="rId116" ref="O152"/>
    <hyperlink r:id="rId117" ref="O161"/>
    <hyperlink r:id="rId118" ref="O165"/>
    <hyperlink r:id="rId119" ref="O166"/>
    <hyperlink r:id="rId120" ref="O167"/>
    <hyperlink r:id="rId121" ref="O170"/>
  </hyperlinks>
  <drawing r:id="rId1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4</v>
      </c>
      <c r="O3" s="5"/>
      <c r="P3" s="42">
        <f>countifs($J$28:$J1142,P$2,$C$28:$C1142,$C$5)</f>
        <v>0</v>
      </c>
      <c r="Q3" s="5"/>
      <c r="R3" s="42">
        <f>countifs($J$28:$J1142,R$2,$C$28:$C1142,$C$5)</f>
        <v>0</v>
      </c>
      <c r="S3" s="5"/>
      <c r="T3" s="43">
        <f>sum(I3:S3)</f>
        <v>4</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0.0006462035541</v>
      </c>
      <c r="E6" s="58"/>
      <c r="F6" s="59" t="str">
        <f>if(D6&lt;0.15%,"合格","不合格")</f>
        <v>合格</v>
      </c>
      <c r="G6" s="29"/>
      <c r="H6" s="40"/>
      <c r="I6" s="60">
        <f t="shared" ref="I6:N6" si="2">countifs($I$28:$I1142,I$5,$C$28:$C1142,$C$5)</f>
        <v>0</v>
      </c>
      <c r="J6" s="60">
        <f t="shared" si="2"/>
        <v>0</v>
      </c>
      <c r="K6" s="60">
        <f t="shared" si="2"/>
        <v>1</v>
      </c>
      <c r="L6" s="60">
        <f t="shared" si="2"/>
        <v>1</v>
      </c>
      <c r="M6" s="60">
        <f t="shared" si="2"/>
        <v>2</v>
      </c>
      <c r="N6" s="61">
        <f t="shared" si="2"/>
        <v>0</v>
      </c>
      <c r="O6" s="5"/>
      <c r="P6" s="61">
        <f>countifs($I$28:$I1142,P$5,$C$28:$C1142,$C$5)</f>
        <v>1</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11" si="10">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1</v>
      </c>
      <c r="H11" s="79">
        <f t="shared" si="5"/>
        <v>2</v>
      </c>
      <c r="I11" s="79">
        <f t="shared" si="5"/>
        <v>0</v>
      </c>
      <c r="J11" s="79">
        <f t="shared" si="5"/>
        <v>1</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12380</v>
      </c>
      <c r="W11" s="73"/>
      <c r="X11" s="83">
        <f t="shared" si="10"/>
        <v>0.0006462035541</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4</v>
      </c>
      <c r="AP11" s="73"/>
      <c r="AQ11" s="85">
        <f t="shared" si="17"/>
        <v>0</v>
      </c>
      <c r="AR11" s="73"/>
      <c r="AS11" s="85">
        <f t="shared" si="18"/>
        <v>0</v>
      </c>
      <c r="AT11" s="73"/>
      <c r="AU11" s="85">
        <f t="shared" si="19"/>
        <v>4</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0</v>
      </c>
      <c r="W12" s="73"/>
      <c r="X12" s="80"/>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0"/>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0"/>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0"/>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0"/>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0"/>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0"/>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0"/>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0"/>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8"/>
      <c r="Y21" s="89"/>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2</v>
      </c>
      <c r="H22" s="95">
        <f t="shared" si="30"/>
        <v>5</v>
      </c>
      <c r="I22" s="95">
        <f t="shared" si="30"/>
        <v>3</v>
      </c>
      <c r="J22" s="95">
        <f t="shared" si="30"/>
        <v>1</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11</v>
      </c>
      <c r="AP22" s="97"/>
      <c r="AQ22" s="102">
        <f>sum(AQ10:AR21)</f>
        <v>0</v>
      </c>
      <c r="AR22" s="97"/>
      <c r="AS22" s="102">
        <f>sum(AS10:AT21)</f>
        <v>2</v>
      </c>
      <c r="AT22" s="97"/>
      <c r="AU22" s="102">
        <f>sum(AU10:AV21)</f>
        <v>13</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9"/>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193</v>
      </c>
      <c r="E48" s="160" t="s">
        <v>178</v>
      </c>
      <c r="F48" s="161" t="s">
        <v>100</v>
      </c>
      <c r="G48" s="161"/>
      <c r="H48" s="161"/>
      <c r="I48" s="151"/>
      <c r="J48" s="151" t="s">
        <v>29</v>
      </c>
      <c r="K48" s="161"/>
      <c r="L48" s="161"/>
      <c r="M48" s="161" t="s">
        <v>126</v>
      </c>
      <c r="N48" s="162" t="s">
        <v>194</v>
      </c>
      <c r="O48" s="163"/>
      <c r="P48" s="163"/>
      <c r="Q48" s="163"/>
      <c r="R48" s="163"/>
      <c r="S48" s="164"/>
      <c r="T48" s="162" t="s">
        <v>106</v>
      </c>
      <c r="U48" s="163"/>
      <c r="V48" s="163"/>
      <c r="W48" s="163"/>
      <c r="X48" s="163"/>
      <c r="Y48" s="164"/>
      <c r="Z48" s="162" t="s">
        <v>195</v>
      </c>
      <c r="AA48" s="163"/>
      <c r="AB48" s="163"/>
      <c r="AC48" s="163"/>
      <c r="AD48" s="163"/>
      <c r="AE48" s="164"/>
      <c r="AF48" s="169"/>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196</v>
      </c>
      <c r="L49" s="161" t="s">
        <v>197</v>
      </c>
      <c r="M49" s="161" t="s">
        <v>104</v>
      </c>
      <c r="N49" s="162" t="s">
        <v>198</v>
      </c>
      <c r="O49" s="163"/>
      <c r="P49" s="163"/>
      <c r="Q49" s="163"/>
      <c r="R49" s="163"/>
      <c r="S49" s="164"/>
      <c r="T49" s="162" t="s">
        <v>106</v>
      </c>
      <c r="U49" s="163"/>
      <c r="V49" s="163"/>
      <c r="W49" s="163"/>
      <c r="X49" s="163"/>
      <c r="Y49" s="164"/>
      <c r="Z49" s="162" t="s">
        <v>199</v>
      </c>
      <c r="AA49" s="163"/>
      <c r="AB49" s="163"/>
      <c r="AC49" s="163"/>
      <c r="AD49" s="163"/>
      <c r="AE49" s="164"/>
      <c r="AF49" s="169"/>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41</v>
      </c>
      <c r="J50" s="151" t="s">
        <v>29</v>
      </c>
      <c r="K50" s="161" t="s">
        <v>200</v>
      </c>
      <c r="L50" s="161" t="s">
        <v>201</v>
      </c>
      <c r="M50" s="161" t="s">
        <v>104</v>
      </c>
      <c r="N50" s="162" t="s">
        <v>202</v>
      </c>
      <c r="O50" s="163"/>
      <c r="P50" s="163"/>
      <c r="Q50" s="163"/>
      <c r="R50" s="163"/>
      <c r="S50" s="164"/>
      <c r="T50" s="162" t="s">
        <v>106</v>
      </c>
      <c r="U50" s="163"/>
      <c r="V50" s="163"/>
      <c r="W50" s="163"/>
      <c r="X50" s="163"/>
      <c r="Y50" s="164"/>
      <c r="Z50" s="162" t="s">
        <v>203</v>
      </c>
      <c r="AA50" s="163"/>
      <c r="AB50" s="163"/>
      <c r="AC50" s="163"/>
      <c r="AD50" s="163"/>
      <c r="AE50" s="164"/>
      <c r="AF50" s="169"/>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196</v>
      </c>
      <c r="L51" s="161" t="s">
        <v>204</v>
      </c>
      <c r="M51" s="161" t="s">
        <v>104</v>
      </c>
      <c r="N51" s="162" t="s">
        <v>205</v>
      </c>
      <c r="O51" s="163"/>
      <c r="P51" s="163"/>
      <c r="Q51" s="163"/>
      <c r="R51" s="163"/>
      <c r="S51" s="164"/>
      <c r="T51" s="162" t="s">
        <v>106</v>
      </c>
      <c r="U51" s="163"/>
      <c r="V51" s="163"/>
      <c r="W51" s="163"/>
      <c r="X51" s="163"/>
      <c r="Y51" s="164"/>
      <c r="Z51" s="162" t="s">
        <v>206</v>
      </c>
      <c r="AA51" s="163"/>
      <c r="AB51" s="163"/>
      <c r="AC51" s="163"/>
      <c r="AD51" s="163"/>
      <c r="AE51" s="164"/>
      <c r="AF51" s="169"/>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207</v>
      </c>
      <c r="E52" s="160" t="s">
        <v>110</v>
      </c>
      <c r="F52" s="161" t="s">
        <v>100</v>
      </c>
      <c r="G52" s="161">
        <v>1720.0</v>
      </c>
      <c r="H52" s="161" t="s">
        <v>118</v>
      </c>
      <c r="I52" s="151" t="s">
        <v>26</v>
      </c>
      <c r="J52" s="151"/>
      <c r="K52" s="161" t="s">
        <v>141</v>
      </c>
      <c r="L52" s="161"/>
      <c r="M52" s="161" t="s">
        <v>104</v>
      </c>
      <c r="N52" s="162" t="s">
        <v>208</v>
      </c>
      <c r="O52" s="163"/>
      <c r="P52" s="163"/>
      <c r="Q52" s="163"/>
      <c r="R52" s="163"/>
      <c r="S52" s="164"/>
      <c r="T52" s="162" t="s">
        <v>121</v>
      </c>
      <c r="U52" s="163"/>
      <c r="V52" s="163"/>
      <c r="W52" s="163"/>
      <c r="X52" s="163"/>
      <c r="Y52" s="164"/>
      <c r="Z52" s="162" t="s">
        <v>209</v>
      </c>
      <c r="AA52" s="163"/>
      <c r="AB52" s="163"/>
      <c r="AC52" s="163"/>
      <c r="AD52" s="163"/>
      <c r="AE52" s="164"/>
      <c r="AF52" s="169"/>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210</v>
      </c>
      <c r="E53" s="160" t="s">
        <v>117</v>
      </c>
      <c r="F53" s="161" t="s">
        <v>119</v>
      </c>
      <c r="G53" s="161"/>
      <c r="H53" s="161"/>
      <c r="I53" s="151"/>
      <c r="J53" s="151" t="s">
        <v>29</v>
      </c>
      <c r="K53" s="161"/>
      <c r="L53" s="161"/>
      <c r="M53" s="161" t="s">
        <v>126</v>
      </c>
      <c r="N53" s="162" t="s">
        <v>211</v>
      </c>
      <c r="O53" s="163"/>
      <c r="P53" s="163"/>
      <c r="Q53" s="163"/>
      <c r="R53" s="163"/>
      <c r="S53" s="164"/>
      <c r="T53" s="162" t="s">
        <v>212</v>
      </c>
      <c r="U53" s="163"/>
      <c r="V53" s="163"/>
      <c r="W53" s="163"/>
      <c r="X53" s="163"/>
      <c r="Y53" s="164"/>
      <c r="Z53" s="162" t="s">
        <v>213</v>
      </c>
      <c r="AA53" s="163"/>
      <c r="AB53" s="163"/>
      <c r="AC53" s="163"/>
      <c r="AD53" s="163"/>
      <c r="AE53" s="164"/>
      <c r="AF53" s="169"/>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214</v>
      </c>
      <c r="E54" s="160" t="s">
        <v>99</v>
      </c>
      <c r="F54" s="161" t="s">
        <v>119</v>
      </c>
      <c r="G54" s="161">
        <v>1806.0</v>
      </c>
      <c r="H54" s="161" t="s">
        <v>118</v>
      </c>
      <c r="I54" s="151" t="s">
        <v>43</v>
      </c>
      <c r="J54" s="151"/>
      <c r="K54" s="161" t="s">
        <v>141</v>
      </c>
      <c r="L54" s="161" t="s">
        <v>137</v>
      </c>
      <c r="M54" s="161" t="s">
        <v>104</v>
      </c>
      <c r="N54" s="162" t="s">
        <v>215</v>
      </c>
      <c r="O54" s="163"/>
      <c r="P54" s="163"/>
      <c r="Q54" s="163"/>
      <c r="R54" s="163"/>
      <c r="S54" s="164"/>
      <c r="T54" s="162" t="s">
        <v>43</v>
      </c>
      <c r="U54" s="163"/>
      <c r="V54" s="163"/>
      <c r="W54" s="163"/>
      <c r="X54" s="163"/>
      <c r="Y54" s="164"/>
      <c r="Z54" s="162" t="s">
        <v>216</v>
      </c>
      <c r="AA54" s="163"/>
      <c r="AB54" s="163"/>
      <c r="AC54" s="163"/>
      <c r="AD54" s="163"/>
      <c r="AE54" s="164"/>
      <c r="AF54" s="169"/>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197</v>
      </c>
      <c r="M55" s="161" t="s">
        <v>104</v>
      </c>
      <c r="N55" s="162" t="s">
        <v>217</v>
      </c>
      <c r="O55" s="163"/>
      <c r="P55" s="163"/>
      <c r="Q55" s="163"/>
      <c r="R55" s="163"/>
      <c r="S55" s="164"/>
      <c r="T55" s="162" t="s">
        <v>106</v>
      </c>
      <c r="U55" s="163"/>
      <c r="V55" s="163"/>
      <c r="W55" s="163"/>
      <c r="X55" s="163"/>
      <c r="Y55" s="164"/>
      <c r="Z55" s="162" t="s">
        <v>218</v>
      </c>
      <c r="AA55" s="163"/>
      <c r="AB55" s="163"/>
      <c r="AC55" s="163"/>
      <c r="AD55" s="163"/>
      <c r="AE55" s="164"/>
      <c r="AF55" s="169"/>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219</v>
      </c>
      <c r="E56" s="160" t="s">
        <v>185</v>
      </c>
      <c r="F56" s="161" t="s">
        <v>100</v>
      </c>
      <c r="G56" s="161">
        <v>1606.0</v>
      </c>
      <c r="H56" s="161" t="s">
        <v>118</v>
      </c>
      <c r="I56" s="151" t="s">
        <v>31</v>
      </c>
      <c r="J56" s="151"/>
      <c r="K56" s="161" t="s">
        <v>200</v>
      </c>
      <c r="L56" s="170"/>
      <c r="M56" s="161" t="s">
        <v>104</v>
      </c>
      <c r="N56" s="162" t="s">
        <v>220</v>
      </c>
      <c r="O56" s="163"/>
      <c r="P56" s="163"/>
      <c r="Q56" s="163"/>
      <c r="R56" s="163"/>
      <c r="S56" s="164"/>
      <c r="T56" s="162" t="s">
        <v>121</v>
      </c>
      <c r="U56" s="163"/>
      <c r="V56" s="163"/>
      <c r="W56" s="163"/>
      <c r="X56" s="163"/>
      <c r="Y56" s="164"/>
      <c r="Z56" s="162" t="s">
        <v>221</v>
      </c>
      <c r="AA56" s="163"/>
      <c r="AB56" s="163"/>
      <c r="AC56" s="163"/>
      <c r="AD56" s="163"/>
      <c r="AE56" s="164"/>
      <c r="AF56" s="169"/>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c r="D57" s="160"/>
      <c r="E57" s="160"/>
      <c r="F57" s="170"/>
      <c r="G57" s="170"/>
      <c r="H57" s="161"/>
      <c r="I57" s="151"/>
      <c r="J57" s="151"/>
      <c r="K57" s="170"/>
      <c r="L57" s="170"/>
      <c r="M57" s="161"/>
      <c r="N57" s="171"/>
      <c r="O57" s="163"/>
      <c r="P57" s="163"/>
      <c r="Q57" s="163"/>
      <c r="R57" s="163"/>
      <c r="S57" s="164"/>
      <c r="T57" s="162"/>
      <c r="U57" s="163"/>
      <c r="V57" s="163"/>
      <c r="W57" s="163"/>
      <c r="X57" s="163"/>
      <c r="Y57" s="164"/>
      <c r="Z57" s="171"/>
      <c r="AA57" s="163"/>
      <c r="AB57" s="163"/>
      <c r="AC57" s="163"/>
      <c r="AD57" s="163"/>
      <c r="AE57" s="164"/>
      <c r="AF57" s="169"/>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70"/>
      <c r="G58" s="170"/>
      <c r="H58" s="161"/>
      <c r="I58" s="151"/>
      <c r="J58" s="151"/>
      <c r="K58" s="170"/>
      <c r="L58" s="170"/>
      <c r="M58" s="161"/>
      <c r="N58" s="171"/>
      <c r="O58" s="163"/>
      <c r="P58" s="163"/>
      <c r="Q58" s="163"/>
      <c r="R58" s="163"/>
      <c r="S58" s="164"/>
      <c r="T58" s="162"/>
      <c r="U58" s="163"/>
      <c r="V58" s="163"/>
      <c r="W58" s="163"/>
      <c r="X58" s="163"/>
      <c r="Y58" s="164"/>
      <c r="Z58" s="171"/>
      <c r="AA58" s="163"/>
      <c r="AB58" s="163"/>
      <c r="AC58" s="163"/>
      <c r="AD58" s="163"/>
      <c r="AE58" s="164"/>
      <c r="AF58" s="169"/>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70"/>
      <c r="G59" s="170"/>
      <c r="H59" s="161"/>
      <c r="I59" s="151"/>
      <c r="J59" s="151"/>
      <c r="K59" s="170"/>
      <c r="L59" s="170"/>
      <c r="M59" s="161"/>
      <c r="N59" s="171"/>
      <c r="O59" s="163"/>
      <c r="P59" s="163"/>
      <c r="Q59" s="163"/>
      <c r="R59" s="163"/>
      <c r="S59" s="164"/>
      <c r="T59" s="162"/>
      <c r="U59" s="163"/>
      <c r="V59" s="163"/>
      <c r="W59" s="163"/>
      <c r="X59" s="163"/>
      <c r="Y59" s="164"/>
      <c r="Z59" s="171"/>
      <c r="AA59" s="163"/>
      <c r="AB59" s="163"/>
      <c r="AC59" s="163"/>
      <c r="AD59" s="163"/>
      <c r="AE59" s="164"/>
      <c r="AF59" s="169"/>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70"/>
      <c r="G60" s="170"/>
      <c r="H60" s="161"/>
      <c r="I60" s="151"/>
      <c r="J60" s="151"/>
      <c r="K60" s="170"/>
      <c r="L60" s="170"/>
      <c r="M60" s="161"/>
      <c r="N60" s="171"/>
      <c r="O60" s="163"/>
      <c r="P60" s="163"/>
      <c r="Q60" s="163"/>
      <c r="R60" s="163"/>
      <c r="S60" s="164"/>
      <c r="T60" s="162"/>
      <c r="U60" s="163"/>
      <c r="V60" s="163"/>
      <c r="W60" s="163"/>
      <c r="X60" s="163"/>
      <c r="Y60" s="164"/>
      <c r="Z60" s="171"/>
      <c r="AA60" s="163"/>
      <c r="AB60" s="163"/>
      <c r="AC60" s="163"/>
      <c r="AD60" s="163"/>
      <c r="AE60" s="164"/>
      <c r="AF60" s="169"/>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70"/>
      <c r="G61" s="170"/>
      <c r="H61" s="161"/>
      <c r="I61" s="151"/>
      <c r="J61" s="151"/>
      <c r="K61" s="170"/>
      <c r="L61" s="170"/>
      <c r="M61" s="161"/>
      <c r="N61" s="171"/>
      <c r="O61" s="163"/>
      <c r="P61" s="163"/>
      <c r="Q61" s="163"/>
      <c r="R61" s="163"/>
      <c r="S61" s="164"/>
      <c r="T61" s="162"/>
      <c r="U61" s="163"/>
      <c r="V61" s="163"/>
      <c r="W61" s="163"/>
      <c r="X61" s="163"/>
      <c r="Y61" s="164"/>
      <c r="Z61" s="171"/>
      <c r="AA61" s="163"/>
      <c r="AB61" s="163"/>
      <c r="AC61" s="163"/>
      <c r="AD61" s="163"/>
      <c r="AE61" s="164"/>
      <c r="AF61" s="169"/>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70"/>
      <c r="G62" s="170"/>
      <c r="H62" s="161"/>
      <c r="I62" s="151"/>
      <c r="J62" s="151"/>
      <c r="K62" s="170"/>
      <c r="L62" s="170"/>
      <c r="M62" s="161"/>
      <c r="N62" s="171"/>
      <c r="O62" s="163"/>
      <c r="P62" s="163"/>
      <c r="Q62" s="163"/>
      <c r="R62" s="163"/>
      <c r="S62" s="164"/>
      <c r="T62" s="162"/>
      <c r="U62" s="163"/>
      <c r="V62" s="163"/>
      <c r="W62" s="163"/>
      <c r="X62" s="163"/>
      <c r="Y62" s="164"/>
      <c r="Z62" s="171"/>
      <c r="AA62" s="163"/>
      <c r="AB62" s="163"/>
      <c r="AC62" s="163"/>
      <c r="AD62" s="163"/>
      <c r="AE62" s="164"/>
      <c r="AF62" s="169"/>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70"/>
      <c r="G63" s="170"/>
      <c r="H63" s="161"/>
      <c r="I63" s="151"/>
      <c r="J63" s="151"/>
      <c r="K63" s="170"/>
      <c r="L63" s="170"/>
      <c r="M63" s="161"/>
      <c r="N63" s="171"/>
      <c r="O63" s="163"/>
      <c r="P63" s="163"/>
      <c r="Q63" s="163"/>
      <c r="R63" s="163"/>
      <c r="S63" s="164"/>
      <c r="T63" s="162"/>
      <c r="U63" s="163"/>
      <c r="V63" s="163"/>
      <c r="W63" s="163"/>
      <c r="X63" s="163"/>
      <c r="Y63" s="164"/>
      <c r="Z63" s="171"/>
      <c r="AA63" s="163"/>
      <c r="AB63" s="163"/>
      <c r="AC63" s="163"/>
      <c r="AD63" s="163"/>
      <c r="AE63" s="164"/>
      <c r="AF63" s="169"/>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70"/>
      <c r="G64" s="170"/>
      <c r="H64" s="161"/>
      <c r="I64" s="151"/>
      <c r="J64" s="151"/>
      <c r="K64" s="170"/>
      <c r="L64" s="170"/>
      <c r="M64" s="161"/>
      <c r="N64" s="171"/>
      <c r="O64" s="163"/>
      <c r="P64" s="163"/>
      <c r="Q64" s="163"/>
      <c r="R64" s="163"/>
      <c r="S64" s="164"/>
      <c r="T64" s="162"/>
      <c r="U64" s="163"/>
      <c r="V64" s="163"/>
      <c r="W64" s="163"/>
      <c r="X64" s="163"/>
      <c r="Y64" s="164"/>
      <c r="Z64" s="171"/>
      <c r="AA64" s="163"/>
      <c r="AB64" s="163"/>
      <c r="AC64" s="163"/>
      <c r="AD64" s="163"/>
      <c r="AE64" s="164"/>
      <c r="AF64" s="169"/>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70"/>
      <c r="G65" s="170"/>
      <c r="H65" s="161"/>
      <c r="I65" s="151"/>
      <c r="J65" s="151"/>
      <c r="K65" s="170"/>
      <c r="L65" s="170"/>
      <c r="M65" s="161"/>
      <c r="N65" s="171"/>
      <c r="O65" s="163"/>
      <c r="P65" s="163"/>
      <c r="Q65" s="163"/>
      <c r="R65" s="163"/>
      <c r="S65" s="164"/>
      <c r="T65" s="162"/>
      <c r="U65" s="163"/>
      <c r="V65" s="163"/>
      <c r="W65" s="163"/>
      <c r="X65" s="163"/>
      <c r="Y65" s="164"/>
      <c r="Z65" s="171"/>
      <c r="AA65" s="163"/>
      <c r="AB65" s="163"/>
      <c r="AC65" s="163"/>
      <c r="AD65" s="163"/>
      <c r="AE65" s="164"/>
      <c r="AF65" s="169"/>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70"/>
      <c r="G66" s="170"/>
      <c r="H66" s="161"/>
      <c r="I66" s="161"/>
      <c r="J66" s="151"/>
      <c r="K66" s="170"/>
      <c r="L66" s="170"/>
      <c r="M66" s="161"/>
      <c r="N66" s="171"/>
      <c r="O66" s="163"/>
      <c r="P66" s="163"/>
      <c r="Q66" s="163"/>
      <c r="R66" s="163"/>
      <c r="S66" s="164"/>
      <c r="T66" s="162"/>
      <c r="U66" s="163"/>
      <c r="V66" s="163"/>
      <c r="W66" s="163"/>
      <c r="X66" s="163"/>
      <c r="Y66" s="164"/>
      <c r="Z66" s="171"/>
      <c r="AA66" s="163"/>
      <c r="AB66" s="163"/>
      <c r="AC66" s="163"/>
      <c r="AD66" s="163"/>
      <c r="AE66" s="164"/>
      <c r="AF66" s="169"/>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70"/>
      <c r="G67" s="170"/>
      <c r="H67" s="161"/>
      <c r="I67" s="161"/>
      <c r="J67" s="151"/>
      <c r="K67" s="170"/>
      <c r="L67" s="170"/>
      <c r="M67" s="161"/>
      <c r="N67" s="171"/>
      <c r="O67" s="163"/>
      <c r="P67" s="163"/>
      <c r="Q67" s="163"/>
      <c r="R67" s="163"/>
      <c r="S67" s="164"/>
      <c r="T67" s="162"/>
      <c r="U67" s="163"/>
      <c r="V67" s="163"/>
      <c r="W67" s="163"/>
      <c r="X67" s="163"/>
      <c r="Y67" s="164"/>
      <c r="Z67" s="171"/>
      <c r="AA67" s="163"/>
      <c r="AB67" s="163"/>
      <c r="AC67" s="163"/>
      <c r="AD67" s="163"/>
      <c r="AE67" s="164"/>
      <c r="AF67" s="169"/>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70"/>
      <c r="G68" s="170"/>
      <c r="H68" s="161"/>
      <c r="I68" s="161"/>
      <c r="J68" s="151"/>
      <c r="K68" s="170"/>
      <c r="L68" s="170"/>
      <c r="M68" s="161"/>
      <c r="N68" s="171"/>
      <c r="O68" s="163"/>
      <c r="P68" s="163"/>
      <c r="Q68" s="163"/>
      <c r="R68" s="163"/>
      <c r="S68" s="164"/>
      <c r="T68" s="162"/>
      <c r="U68" s="163"/>
      <c r="V68" s="163"/>
      <c r="W68" s="163"/>
      <c r="X68" s="163"/>
      <c r="Y68" s="164"/>
      <c r="Z68" s="171"/>
      <c r="AA68" s="163"/>
      <c r="AB68" s="163"/>
      <c r="AC68" s="163"/>
      <c r="AD68" s="163"/>
      <c r="AE68" s="164"/>
      <c r="AF68" s="169"/>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70"/>
      <c r="G69" s="170"/>
      <c r="H69" s="161"/>
      <c r="I69" s="161"/>
      <c r="J69" s="151"/>
      <c r="K69" s="170"/>
      <c r="L69" s="170"/>
      <c r="M69" s="161"/>
      <c r="N69" s="171"/>
      <c r="O69" s="163"/>
      <c r="P69" s="163"/>
      <c r="Q69" s="163"/>
      <c r="R69" s="163"/>
      <c r="S69" s="164"/>
      <c r="T69" s="162"/>
      <c r="U69" s="163"/>
      <c r="V69" s="163"/>
      <c r="W69" s="163"/>
      <c r="X69" s="163"/>
      <c r="Y69" s="164"/>
      <c r="Z69" s="171"/>
      <c r="AA69" s="163"/>
      <c r="AB69" s="163"/>
      <c r="AC69" s="163"/>
      <c r="AD69" s="163"/>
      <c r="AE69" s="164"/>
      <c r="AF69" s="169"/>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70"/>
      <c r="G70" s="170"/>
      <c r="H70" s="161"/>
      <c r="I70" s="161"/>
      <c r="J70" s="151"/>
      <c r="K70" s="170"/>
      <c r="L70" s="170"/>
      <c r="M70" s="161"/>
      <c r="N70" s="171"/>
      <c r="O70" s="163"/>
      <c r="P70" s="163"/>
      <c r="Q70" s="163"/>
      <c r="R70" s="163"/>
      <c r="S70" s="164"/>
      <c r="T70" s="162"/>
      <c r="U70" s="163"/>
      <c r="V70" s="163"/>
      <c r="W70" s="163"/>
      <c r="X70" s="163"/>
      <c r="Y70" s="164"/>
      <c r="Z70" s="171"/>
      <c r="AA70" s="163"/>
      <c r="AB70" s="163"/>
      <c r="AC70" s="163"/>
      <c r="AD70" s="163"/>
      <c r="AE70" s="164"/>
      <c r="AF70" s="169"/>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70"/>
      <c r="G71" s="170"/>
      <c r="H71" s="161"/>
      <c r="I71" s="161"/>
      <c r="J71" s="151"/>
      <c r="K71" s="170"/>
      <c r="L71" s="170"/>
      <c r="M71" s="161"/>
      <c r="N71" s="171"/>
      <c r="O71" s="163"/>
      <c r="P71" s="163"/>
      <c r="Q71" s="163"/>
      <c r="R71" s="163"/>
      <c r="S71" s="164"/>
      <c r="T71" s="162"/>
      <c r="U71" s="163"/>
      <c r="V71" s="163"/>
      <c r="W71" s="163"/>
      <c r="X71" s="163"/>
      <c r="Y71" s="164"/>
      <c r="Z71" s="171"/>
      <c r="AA71" s="163"/>
      <c r="AB71" s="163"/>
      <c r="AC71" s="163"/>
      <c r="AD71" s="163"/>
      <c r="AE71" s="164"/>
      <c r="AF71" s="169"/>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70"/>
      <c r="G72" s="170"/>
      <c r="H72" s="161"/>
      <c r="I72" s="161"/>
      <c r="J72" s="151"/>
      <c r="K72" s="170"/>
      <c r="L72" s="170"/>
      <c r="M72" s="161"/>
      <c r="N72" s="171"/>
      <c r="O72" s="163"/>
      <c r="P72" s="163"/>
      <c r="Q72" s="163"/>
      <c r="R72" s="163"/>
      <c r="S72" s="164"/>
      <c r="T72" s="162"/>
      <c r="U72" s="163"/>
      <c r="V72" s="163"/>
      <c r="W72" s="163"/>
      <c r="X72" s="163"/>
      <c r="Y72" s="164"/>
      <c r="Z72" s="171"/>
      <c r="AA72" s="163"/>
      <c r="AB72" s="163"/>
      <c r="AC72" s="163"/>
      <c r="AD72" s="163"/>
      <c r="AE72" s="164"/>
      <c r="AF72" s="169"/>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70"/>
      <c r="G73" s="170"/>
      <c r="H73" s="161"/>
      <c r="I73" s="161"/>
      <c r="J73" s="151"/>
      <c r="K73" s="170"/>
      <c r="L73" s="170"/>
      <c r="M73" s="161"/>
      <c r="N73" s="171"/>
      <c r="O73" s="163"/>
      <c r="P73" s="163"/>
      <c r="Q73" s="163"/>
      <c r="R73" s="163"/>
      <c r="S73" s="164"/>
      <c r="T73" s="162"/>
      <c r="U73" s="163"/>
      <c r="V73" s="163"/>
      <c r="W73" s="163"/>
      <c r="X73" s="163"/>
      <c r="Y73" s="164"/>
      <c r="Z73" s="171"/>
      <c r="AA73" s="163"/>
      <c r="AB73" s="163"/>
      <c r="AC73" s="163"/>
      <c r="AD73" s="163"/>
      <c r="AE73" s="164"/>
      <c r="AF73" s="169"/>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70"/>
      <c r="G74" s="170"/>
      <c r="H74" s="161"/>
      <c r="I74" s="161"/>
      <c r="J74" s="151"/>
      <c r="K74" s="170"/>
      <c r="L74" s="170"/>
      <c r="M74" s="161"/>
      <c r="N74" s="171"/>
      <c r="O74" s="163"/>
      <c r="P74" s="163"/>
      <c r="Q74" s="163"/>
      <c r="R74" s="163"/>
      <c r="S74" s="164"/>
      <c r="T74" s="162"/>
      <c r="U74" s="163"/>
      <c r="V74" s="163"/>
      <c r="W74" s="163"/>
      <c r="X74" s="163"/>
      <c r="Y74" s="164"/>
      <c r="Z74" s="171"/>
      <c r="AA74" s="163"/>
      <c r="AB74" s="163"/>
      <c r="AC74" s="163"/>
      <c r="AD74" s="163"/>
      <c r="AE74" s="164"/>
      <c r="AF74" s="169"/>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70"/>
      <c r="G75" s="170"/>
      <c r="H75" s="161"/>
      <c r="I75" s="161"/>
      <c r="J75" s="151"/>
      <c r="K75" s="170"/>
      <c r="L75" s="170"/>
      <c r="M75" s="161"/>
      <c r="N75" s="171"/>
      <c r="O75" s="163"/>
      <c r="P75" s="163"/>
      <c r="Q75" s="163"/>
      <c r="R75" s="163"/>
      <c r="S75" s="164"/>
      <c r="T75" s="162"/>
      <c r="U75" s="163"/>
      <c r="V75" s="163"/>
      <c r="W75" s="163"/>
      <c r="X75" s="163"/>
      <c r="Y75" s="164"/>
      <c r="Z75" s="171"/>
      <c r="AA75" s="163"/>
      <c r="AB75" s="163"/>
      <c r="AC75" s="163"/>
      <c r="AD75" s="163"/>
      <c r="AE75" s="164"/>
      <c r="AF75" s="169"/>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70"/>
      <c r="G76" s="170"/>
      <c r="H76" s="161"/>
      <c r="I76" s="161"/>
      <c r="J76" s="151"/>
      <c r="K76" s="170"/>
      <c r="L76" s="170"/>
      <c r="M76" s="161"/>
      <c r="N76" s="171"/>
      <c r="O76" s="163"/>
      <c r="P76" s="163"/>
      <c r="Q76" s="163"/>
      <c r="R76" s="163"/>
      <c r="S76" s="164"/>
      <c r="T76" s="162"/>
      <c r="U76" s="163"/>
      <c r="V76" s="163"/>
      <c r="W76" s="163"/>
      <c r="X76" s="163"/>
      <c r="Y76" s="164"/>
      <c r="Z76" s="171"/>
      <c r="AA76" s="163"/>
      <c r="AB76" s="163"/>
      <c r="AC76" s="163"/>
      <c r="AD76" s="163"/>
      <c r="AE76" s="164"/>
      <c r="AF76" s="169"/>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70"/>
      <c r="G77" s="170"/>
      <c r="H77" s="161"/>
      <c r="I77" s="161"/>
      <c r="J77" s="151"/>
      <c r="K77" s="170"/>
      <c r="L77" s="170"/>
      <c r="M77" s="161"/>
      <c r="N77" s="171"/>
      <c r="O77" s="163"/>
      <c r="P77" s="163"/>
      <c r="Q77" s="163"/>
      <c r="R77" s="163"/>
      <c r="S77" s="164"/>
      <c r="T77" s="162"/>
      <c r="U77" s="163"/>
      <c r="V77" s="163"/>
      <c r="W77" s="163"/>
      <c r="X77" s="163"/>
      <c r="Y77" s="164"/>
      <c r="Z77" s="171"/>
      <c r="AA77" s="163"/>
      <c r="AB77" s="163"/>
      <c r="AC77" s="163"/>
      <c r="AD77" s="163"/>
      <c r="AE77" s="164"/>
      <c r="AF77" s="169"/>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70"/>
      <c r="G78" s="170"/>
      <c r="H78" s="161"/>
      <c r="I78" s="161"/>
      <c r="J78" s="151"/>
      <c r="K78" s="170"/>
      <c r="L78" s="170"/>
      <c r="M78" s="161"/>
      <c r="N78" s="171"/>
      <c r="O78" s="163"/>
      <c r="P78" s="163"/>
      <c r="Q78" s="163"/>
      <c r="R78" s="163"/>
      <c r="S78" s="164"/>
      <c r="T78" s="162"/>
      <c r="U78" s="163"/>
      <c r="V78" s="163"/>
      <c r="W78" s="163"/>
      <c r="X78" s="163"/>
      <c r="Y78" s="164"/>
      <c r="Z78" s="171"/>
      <c r="AA78" s="163"/>
      <c r="AB78" s="163"/>
      <c r="AC78" s="163"/>
      <c r="AD78" s="163"/>
      <c r="AE78" s="164"/>
      <c r="AF78" s="169"/>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70"/>
      <c r="G79" s="170"/>
      <c r="H79" s="161"/>
      <c r="I79" s="161"/>
      <c r="J79" s="151"/>
      <c r="K79" s="170"/>
      <c r="L79" s="170"/>
      <c r="M79" s="161"/>
      <c r="N79" s="171"/>
      <c r="O79" s="163"/>
      <c r="P79" s="163"/>
      <c r="Q79" s="163"/>
      <c r="R79" s="163"/>
      <c r="S79" s="164"/>
      <c r="T79" s="162"/>
      <c r="U79" s="163"/>
      <c r="V79" s="163"/>
      <c r="W79" s="163"/>
      <c r="X79" s="163"/>
      <c r="Y79" s="164"/>
      <c r="Z79" s="171"/>
      <c r="AA79" s="163"/>
      <c r="AB79" s="163"/>
      <c r="AC79" s="163"/>
      <c r="AD79" s="163"/>
      <c r="AE79" s="164"/>
      <c r="AF79" s="169"/>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70"/>
      <c r="G80" s="170"/>
      <c r="H80" s="161"/>
      <c r="I80" s="161"/>
      <c r="J80" s="151"/>
      <c r="K80" s="170"/>
      <c r="L80" s="170"/>
      <c r="M80" s="161"/>
      <c r="N80" s="171"/>
      <c r="O80" s="163"/>
      <c r="P80" s="163"/>
      <c r="Q80" s="163"/>
      <c r="R80" s="163"/>
      <c r="S80" s="164"/>
      <c r="T80" s="162"/>
      <c r="U80" s="163"/>
      <c r="V80" s="163"/>
      <c r="W80" s="163"/>
      <c r="X80" s="163"/>
      <c r="Y80" s="164"/>
      <c r="Z80" s="171"/>
      <c r="AA80" s="163"/>
      <c r="AB80" s="163"/>
      <c r="AC80" s="163"/>
      <c r="AD80" s="163"/>
      <c r="AE80" s="164"/>
      <c r="AF80" s="169"/>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70"/>
      <c r="G81" s="170"/>
      <c r="H81" s="161"/>
      <c r="I81" s="161"/>
      <c r="J81" s="151"/>
      <c r="K81" s="170"/>
      <c r="L81" s="170"/>
      <c r="M81" s="161"/>
      <c r="N81" s="171"/>
      <c r="O81" s="163"/>
      <c r="P81" s="163"/>
      <c r="Q81" s="163"/>
      <c r="R81" s="163"/>
      <c r="S81" s="164"/>
      <c r="T81" s="162"/>
      <c r="U81" s="163"/>
      <c r="V81" s="163"/>
      <c r="W81" s="163"/>
      <c r="X81" s="163"/>
      <c r="Y81" s="164"/>
      <c r="Z81" s="171"/>
      <c r="AA81" s="163"/>
      <c r="AB81" s="163"/>
      <c r="AC81" s="163"/>
      <c r="AD81" s="163"/>
      <c r="AE81" s="164"/>
      <c r="AF81" s="169"/>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70"/>
      <c r="G82" s="170"/>
      <c r="H82" s="161"/>
      <c r="I82" s="161"/>
      <c r="J82" s="151"/>
      <c r="K82" s="170"/>
      <c r="L82" s="170"/>
      <c r="M82" s="161"/>
      <c r="N82" s="171"/>
      <c r="O82" s="163"/>
      <c r="P82" s="163"/>
      <c r="Q82" s="163"/>
      <c r="R82" s="163"/>
      <c r="S82" s="164"/>
      <c r="T82" s="162"/>
      <c r="U82" s="163"/>
      <c r="V82" s="163"/>
      <c r="W82" s="163"/>
      <c r="X82" s="163"/>
      <c r="Y82" s="164"/>
      <c r="Z82" s="171"/>
      <c r="AA82" s="163"/>
      <c r="AB82" s="163"/>
      <c r="AC82" s="163"/>
      <c r="AD82" s="163"/>
      <c r="AE82" s="164"/>
      <c r="AF82" s="169"/>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70"/>
      <c r="G83" s="170"/>
      <c r="H83" s="161"/>
      <c r="I83" s="161"/>
      <c r="J83" s="151"/>
      <c r="K83" s="170"/>
      <c r="L83" s="170"/>
      <c r="M83" s="161"/>
      <c r="N83" s="171"/>
      <c r="O83" s="163"/>
      <c r="P83" s="163"/>
      <c r="Q83" s="163"/>
      <c r="R83" s="163"/>
      <c r="S83" s="164"/>
      <c r="T83" s="162"/>
      <c r="U83" s="163"/>
      <c r="V83" s="163"/>
      <c r="W83" s="163"/>
      <c r="X83" s="163"/>
      <c r="Y83" s="164"/>
      <c r="Z83" s="171"/>
      <c r="AA83" s="163"/>
      <c r="AB83" s="163"/>
      <c r="AC83" s="163"/>
      <c r="AD83" s="163"/>
      <c r="AE83" s="164"/>
      <c r="AF83" s="169"/>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70"/>
      <c r="G84" s="170"/>
      <c r="H84" s="161"/>
      <c r="I84" s="161"/>
      <c r="J84" s="151"/>
      <c r="K84" s="170"/>
      <c r="L84" s="170"/>
      <c r="M84" s="161"/>
      <c r="N84" s="171"/>
      <c r="O84" s="163"/>
      <c r="P84" s="163"/>
      <c r="Q84" s="163"/>
      <c r="R84" s="163"/>
      <c r="S84" s="164"/>
      <c r="T84" s="162"/>
      <c r="U84" s="163"/>
      <c r="V84" s="163"/>
      <c r="W84" s="163"/>
      <c r="X84" s="163"/>
      <c r="Y84" s="164"/>
      <c r="Z84" s="171"/>
      <c r="AA84" s="163"/>
      <c r="AB84" s="163"/>
      <c r="AC84" s="163"/>
      <c r="AD84" s="163"/>
      <c r="AE84" s="164"/>
      <c r="AF84" s="169"/>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70"/>
      <c r="G85" s="170"/>
      <c r="H85" s="161"/>
      <c r="I85" s="161"/>
      <c r="J85" s="151"/>
      <c r="K85" s="170"/>
      <c r="L85" s="170"/>
      <c r="M85" s="161"/>
      <c r="N85" s="171"/>
      <c r="O85" s="163"/>
      <c r="P85" s="163"/>
      <c r="Q85" s="163"/>
      <c r="R85" s="163"/>
      <c r="S85" s="164"/>
      <c r="T85" s="162"/>
      <c r="U85" s="163"/>
      <c r="V85" s="163"/>
      <c r="W85" s="163"/>
      <c r="X85" s="163"/>
      <c r="Y85" s="164"/>
      <c r="Z85" s="171"/>
      <c r="AA85" s="163"/>
      <c r="AB85" s="163"/>
      <c r="AC85" s="163"/>
      <c r="AD85" s="163"/>
      <c r="AE85" s="164"/>
      <c r="AF85" s="169"/>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70"/>
      <c r="G86" s="170"/>
      <c r="H86" s="161"/>
      <c r="I86" s="161"/>
      <c r="J86" s="151"/>
      <c r="K86" s="170"/>
      <c r="L86" s="170"/>
      <c r="M86" s="161"/>
      <c r="N86" s="171"/>
      <c r="O86" s="163"/>
      <c r="P86" s="163"/>
      <c r="Q86" s="163"/>
      <c r="R86" s="163"/>
      <c r="S86" s="164"/>
      <c r="T86" s="162"/>
      <c r="U86" s="163"/>
      <c r="V86" s="163"/>
      <c r="W86" s="163"/>
      <c r="X86" s="163"/>
      <c r="Y86" s="164"/>
      <c r="Z86" s="171"/>
      <c r="AA86" s="163"/>
      <c r="AB86" s="163"/>
      <c r="AC86" s="163"/>
      <c r="AD86" s="163"/>
      <c r="AE86" s="164"/>
      <c r="AF86" s="169"/>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70"/>
      <c r="G87" s="170"/>
      <c r="H87" s="161"/>
      <c r="I87" s="161"/>
      <c r="J87" s="151"/>
      <c r="K87" s="170"/>
      <c r="L87" s="170"/>
      <c r="M87" s="161"/>
      <c r="N87" s="171"/>
      <c r="O87" s="163"/>
      <c r="P87" s="163"/>
      <c r="Q87" s="163"/>
      <c r="R87" s="163"/>
      <c r="S87" s="164"/>
      <c r="T87" s="162"/>
      <c r="U87" s="163"/>
      <c r="V87" s="163"/>
      <c r="W87" s="163"/>
      <c r="X87" s="163"/>
      <c r="Y87" s="164"/>
      <c r="Z87" s="171"/>
      <c r="AA87" s="163"/>
      <c r="AB87" s="163"/>
      <c r="AC87" s="163"/>
      <c r="AD87" s="163"/>
      <c r="AE87" s="164"/>
      <c r="AF87" s="169"/>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70"/>
      <c r="G88" s="170"/>
      <c r="H88" s="161"/>
      <c r="I88" s="161"/>
      <c r="J88" s="151"/>
      <c r="K88" s="170"/>
      <c r="L88" s="170"/>
      <c r="M88" s="161"/>
      <c r="N88" s="171"/>
      <c r="O88" s="163"/>
      <c r="P88" s="163"/>
      <c r="Q88" s="163"/>
      <c r="R88" s="163"/>
      <c r="S88" s="164"/>
      <c r="T88" s="162"/>
      <c r="U88" s="163"/>
      <c r="V88" s="163"/>
      <c r="W88" s="163"/>
      <c r="X88" s="163"/>
      <c r="Y88" s="164"/>
      <c r="Z88" s="171"/>
      <c r="AA88" s="163"/>
      <c r="AB88" s="163"/>
      <c r="AC88" s="163"/>
      <c r="AD88" s="163"/>
      <c r="AE88" s="164"/>
      <c r="AF88" s="169"/>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70"/>
      <c r="G89" s="170"/>
      <c r="H89" s="161"/>
      <c r="I89" s="161"/>
      <c r="J89" s="151"/>
      <c r="K89" s="170"/>
      <c r="L89" s="170"/>
      <c r="M89" s="161"/>
      <c r="N89" s="171"/>
      <c r="O89" s="163"/>
      <c r="P89" s="163"/>
      <c r="Q89" s="163"/>
      <c r="R89" s="163"/>
      <c r="S89" s="164"/>
      <c r="T89" s="162"/>
      <c r="U89" s="163"/>
      <c r="V89" s="163"/>
      <c r="W89" s="163"/>
      <c r="X89" s="163"/>
      <c r="Y89" s="164"/>
      <c r="Z89" s="171"/>
      <c r="AA89" s="163"/>
      <c r="AB89" s="163"/>
      <c r="AC89" s="163"/>
      <c r="AD89" s="163"/>
      <c r="AE89" s="164"/>
      <c r="AF89" s="169"/>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70"/>
      <c r="G90" s="170"/>
      <c r="H90" s="161"/>
      <c r="I90" s="161"/>
      <c r="J90" s="151"/>
      <c r="K90" s="170"/>
      <c r="L90" s="170"/>
      <c r="M90" s="161"/>
      <c r="N90" s="171"/>
      <c r="O90" s="163"/>
      <c r="P90" s="163"/>
      <c r="Q90" s="163"/>
      <c r="R90" s="163"/>
      <c r="S90" s="164"/>
      <c r="T90" s="162"/>
      <c r="U90" s="163"/>
      <c r="V90" s="163"/>
      <c r="W90" s="163"/>
      <c r="X90" s="163"/>
      <c r="Y90" s="164"/>
      <c r="Z90" s="171"/>
      <c r="AA90" s="163"/>
      <c r="AB90" s="163"/>
      <c r="AC90" s="163"/>
      <c r="AD90" s="163"/>
      <c r="AE90" s="164"/>
      <c r="AF90" s="169"/>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70"/>
      <c r="G91" s="170"/>
      <c r="H91" s="161"/>
      <c r="I91" s="161"/>
      <c r="J91" s="151"/>
      <c r="K91" s="170"/>
      <c r="L91" s="170"/>
      <c r="M91" s="161"/>
      <c r="N91" s="171"/>
      <c r="O91" s="163"/>
      <c r="P91" s="163"/>
      <c r="Q91" s="163"/>
      <c r="R91" s="163"/>
      <c r="S91" s="164"/>
      <c r="T91" s="162"/>
      <c r="U91" s="163"/>
      <c r="V91" s="163"/>
      <c r="W91" s="163"/>
      <c r="X91" s="163"/>
      <c r="Y91" s="164"/>
      <c r="Z91" s="171"/>
      <c r="AA91" s="163"/>
      <c r="AB91" s="163"/>
      <c r="AC91" s="163"/>
      <c r="AD91" s="163"/>
      <c r="AE91" s="164"/>
      <c r="AF91" s="169"/>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70"/>
      <c r="G92" s="170"/>
      <c r="H92" s="161"/>
      <c r="I92" s="161"/>
      <c r="J92" s="151"/>
      <c r="K92" s="170"/>
      <c r="L92" s="170"/>
      <c r="M92" s="161"/>
      <c r="N92" s="171"/>
      <c r="O92" s="163"/>
      <c r="P92" s="163"/>
      <c r="Q92" s="163"/>
      <c r="R92" s="163"/>
      <c r="S92" s="164"/>
      <c r="T92" s="162"/>
      <c r="U92" s="163"/>
      <c r="V92" s="163"/>
      <c r="W92" s="163"/>
      <c r="X92" s="163"/>
      <c r="Y92" s="164"/>
      <c r="Z92" s="171"/>
      <c r="AA92" s="163"/>
      <c r="AB92" s="163"/>
      <c r="AC92" s="163"/>
      <c r="AD92" s="163"/>
      <c r="AE92" s="164"/>
      <c r="AF92" s="169"/>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70"/>
      <c r="G93" s="170"/>
      <c r="H93" s="161"/>
      <c r="I93" s="161"/>
      <c r="J93" s="151"/>
      <c r="K93" s="170"/>
      <c r="L93" s="170"/>
      <c r="M93" s="161"/>
      <c r="N93" s="171"/>
      <c r="O93" s="163"/>
      <c r="P93" s="163"/>
      <c r="Q93" s="163"/>
      <c r="R93" s="163"/>
      <c r="S93" s="164"/>
      <c r="T93" s="162"/>
      <c r="U93" s="163"/>
      <c r="V93" s="163"/>
      <c r="W93" s="163"/>
      <c r="X93" s="163"/>
      <c r="Y93" s="164"/>
      <c r="Z93" s="171"/>
      <c r="AA93" s="163"/>
      <c r="AB93" s="163"/>
      <c r="AC93" s="163"/>
      <c r="AD93" s="163"/>
      <c r="AE93" s="164"/>
      <c r="AF93" s="169"/>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70"/>
      <c r="G94" s="170"/>
      <c r="H94" s="161"/>
      <c r="I94" s="161"/>
      <c r="J94" s="151"/>
      <c r="K94" s="170"/>
      <c r="L94" s="170"/>
      <c r="M94" s="161"/>
      <c r="N94" s="171"/>
      <c r="O94" s="163"/>
      <c r="P94" s="163"/>
      <c r="Q94" s="163"/>
      <c r="R94" s="163"/>
      <c r="S94" s="164"/>
      <c r="T94" s="162"/>
      <c r="U94" s="163"/>
      <c r="V94" s="163"/>
      <c r="W94" s="163"/>
      <c r="X94" s="163"/>
      <c r="Y94" s="164"/>
      <c r="Z94" s="171"/>
      <c r="AA94" s="163"/>
      <c r="AB94" s="163"/>
      <c r="AC94" s="163"/>
      <c r="AD94" s="163"/>
      <c r="AE94" s="164"/>
      <c r="AF94" s="169"/>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70"/>
      <c r="G95" s="170"/>
      <c r="H95" s="161"/>
      <c r="I95" s="161"/>
      <c r="J95" s="151"/>
      <c r="K95" s="170"/>
      <c r="L95" s="170"/>
      <c r="M95" s="161"/>
      <c r="N95" s="171"/>
      <c r="O95" s="163"/>
      <c r="P95" s="163"/>
      <c r="Q95" s="163"/>
      <c r="R95" s="163"/>
      <c r="S95" s="164"/>
      <c r="T95" s="162"/>
      <c r="U95" s="163"/>
      <c r="V95" s="163"/>
      <c r="W95" s="163"/>
      <c r="X95" s="163"/>
      <c r="Y95" s="164"/>
      <c r="Z95" s="171"/>
      <c r="AA95" s="163"/>
      <c r="AB95" s="163"/>
      <c r="AC95" s="163"/>
      <c r="AD95" s="163"/>
      <c r="AE95" s="164"/>
      <c r="AF95" s="169"/>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70"/>
      <c r="G96" s="170"/>
      <c r="H96" s="161"/>
      <c r="I96" s="161"/>
      <c r="J96" s="151"/>
      <c r="K96" s="170"/>
      <c r="L96" s="170"/>
      <c r="M96" s="161"/>
      <c r="N96" s="171"/>
      <c r="O96" s="163"/>
      <c r="P96" s="163"/>
      <c r="Q96" s="163"/>
      <c r="R96" s="163"/>
      <c r="S96" s="164"/>
      <c r="T96" s="162"/>
      <c r="U96" s="163"/>
      <c r="V96" s="163"/>
      <c r="W96" s="163"/>
      <c r="X96" s="163"/>
      <c r="Y96" s="164"/>
      <c r="Z96" s="171"/>
      <c r="AA96" s="163"/>
      <c r="AB96" s="163"/>
      <c r="AC96" s="163"/>
      <c r="AD96" s="163"/>
      <c r="AE96" s="164"/>
      <c r="AF96" s="169"/>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70"/>
      <c r="G97" s="170"/>
      <c r="H97" s="161"/>
      <c r="I97" s="161"/>
      <c r="J97" s="151"/>
      <c r="K97" s="170"/>
      <c r="L97" s="170"/>
      <c r="M97" s="161"/>
      <c r="N97" s="171"/>
      <c r="O97" s="163"/>
      <c r="P97" s="163"/>
      <c r="Q97" s="163"/>
      <c r="R97" s="163"/>
      <c r="S97" s="164"/>
      <c r="T97" s="162"/>
      <c r="U97" s="163"/>
      <c r="V97" s="163"/>
      <c r="W97" s="163"/>
      <c r="X97" s="163"/>
      <c r="Y97" s="164"/>
      <c r="Z97" s="171"/>
      <c r="AA97" s="163"/>
      <c r="AB97" s="163"/>
      <c r="AC97" s="163"/>
      <c r="AD97" s="163"/>
      <c r="AE97" s="164"/>
      <c r="AF97" s="169"/>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70"/>
      <c r="G98" s="170"/>
      <c r="H98" s="161"/>
      <c r="I98" s="161"/>
      <c r="J98" s="151"/>
      <c r="K98" s="170"/>
      <c r="L98" s="170"/>
      <c r="M98" s="161"/>
      <c r="N98" s="171"/>
      <c r="O98" s="163"/>
      <c r="P98" s="163"/>
      <c r="Q98" s="163"/>
      <c r="R98" s="163"/>
      <c r="S98" s="164"/>
      <c r="T98" s="162"/>
      <c r="U98" s="163"/>
      <c r="V98" s="163"/>
      <c r="W98" s="163"/>
      <c r="X98" s="163"/>
      <c r="Y98" s="164"/>
      <c r="Z98" s="171"/>
      <c r="AA98" s="163"/>
      <c r="AB98" s="163"/>
      <c r="AC98" s="163"/>
      <c r="AD98" s="163"/>
      <c r="AE98" s="164"/>
      <c r="AF98" s="169"/>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70"/>
      <c r="G99" s="170"/>
      <c r="H99" s="161"/>
      <c r="I99" s="161"/>
      <c r="J99" s="151"/>
      <c r="K99" s="170"/>
      <c r="L99" s="170"/>
      <c r="M99" s="161"/>
      <c r="N99" s="171"/>
      <c r="O99" s="163"/>
      <c r="P99" s="163"/>
      <c r="Q99" s="163"/>
      <c r="R99" s="163"/>
      <c r="S99" s="164"/>
      <c r="T99" s="162"/>
      <c r="U99" s="163"/>
      <c r="V99" s="163"/>
      <c r="W99" s="163"/>
      <c r="X99" s="163"/>
      <c r="Y99" s="164"/>
      <c r="Z99" s="171"/>
      <c r="AA99" s="163"/>
      <c r="AB99" s="163"/>
      <c r="AC99" s="163"/>
      <c r="AD99" s="163"/>
      <c r="AE99" s="164"/>
      <c r="AF99" s="169"/>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70"/>
      <c r="G100" s="170"/>
      <c r="H100" s="161"/>
      <c r="I100" s="161"/>
      <c r="J100" s="151"/>
      <c r="K100" s="170"/>
      <c r="L100" s="170"/>
      <c r="M100" s="161"/>
      <c r="N100" s="171"/>
      <c r="O100" s="163"/>
      <c r="P100" s="163"/>
      <c r="Q100" s="163"/>
      <c r="R100" s="163"/>
      <c r="S100" s="164"/>
      <c r="T100" s="162"/>
      <c r="U100" s="163"/>
      <c r="V100" s="163"/>
      <c r="W100" s="163"/>
      <c r="X100" s="163"/>
      <c r="Y100" s="164"/>
      <c r="Z100" s="171"/>
      <c r="AA100" s="163"/>
      <c r="AB100" s="163"/>
      <c r="AC100" s="163"/>
      <c r="AD100" s="163"/>
      <c r="AE100" s="164"/>
      <c r="AF100" s="169"/>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70"/>
      <c r="G101" s="170"/>
      <c r="H101" s="161"/>
      <c r="I101" s="161"/>
      <c r="J101" s="151"/>
      <c r="K101" s="170"/>
      <c r="L101" s="170"/>
      <c r="M101" s="161"/>
      <c r="N101" s="171"/>
      <c r="O101" s="163"/>
      <c r="P101" s="163"/>
      <c r="Q101" s="163"/>
      <c r="R101" s="163"/>
      <c r="S101" s="164"/>
      <c r="T101" s="162"/>
      <c r="U101" s="163"/>
      <c r="V101" s="163"/>
      <c r="W101" s="163"/>
      <c r="X101" s="163"/>
      <c r="Y101" s="164"/>
      <c r="Z101" s="171"/>
      <c r="AA101" s="163"/>
      <c r="AB101" s="163"/>
      <c r="AC101" s="163"/>
      <c r="AD101" s="163"/>
      <c r="AE101" s="164"/>
      <c r="AF101" s="169"/>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70"/>
      <c r="G102" s="170"/>
      <c r="H102" s="161"/>
      <c r="I102" s="161"/>
      <c r="J102" s="151"/>
      <c r="K102" s="170"/>
      <c r="L102" s="170"/>
      <c r="M102" s="161"/>
      <c r="N102" s="171"/>
      <c r="O102" s="163"/>
      <c r="P102" s="163"/>
      <c r="Q102" s="163"/>
      <c r="R102" s="163"/>
      <c r="S102" s="164"/>
      <c r="T102" s="162"/>
      <c r="U102" s="163"/>
      <c r="V102" s="163"/>
      <c r="W102" s="163"/>
      <c r="X102" s="163"/>
      <c r="Y102" s="164"/>
      <c r="Z102" s="171"/>
      <c r="AA102" s="163"/>
      <c r="AB102" s="163"/>
      <c r="AC102" s="163"/>
      <c r="AD102" s="163"/>
      <c r="AE102" s="164"/>
      <c r="AF102" s="169"/>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70"/>
      <c r="G103" s="170"/>
      <c r="H103" s="161"/>
      <c r="I103" s="161"/>
      <c r="J103" s="151"/>
      <c r="K103" s="170"/>
      <c r="L103" s="170"/>
      <c r="M103" s="161"/>
      <c r="N103" s="171"/>
      <c r="O103" s="163"/>
      <c r="P103" s="163"/>
      <c r="Q103" s="163"/>
      <c r="R103" s="163"/>
      <c r="S103" s="164"/>
      <c r="T103" s="162"/>
      <c r="U103" s="163"/>
      <c r="V103" s="163"/>
      <c r="W103" s="163"/>
      <c r="X103" s="163"/>
      <c r="Y103" s="164"/>
      <c r="Z103" s="171"/>
      <c r="AA103" s="163"/>
      <c r="AB103" s="163"/>
      <c r="AC103" s="163"/>
      <c r="AD103" s="163"/>
      <c r="AE103" s="164"/>
      <c r="AF103" s="169"/>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70"/>
      <c r="G104" s="170"/>
      <c r="H104" s="161"/>
      <c r="I104" s="161"/>
      <c r="J104" s="151"/>
      <c r="K104" s="170"/>
      <c r="L104" s="170"/>
      <c r="M104" s="161"/>
      <c r="N104" s="171"/>
      <c r="O104" s="163"/>
      <c r="P104" s="163"/>
      <c r="Q104" s="163"/>
      <c r="R104" s="163"/>
      <c r="S104" s="164"/>
      <c r="T104" s="162"/>
      <c r="U104" s="163"/>
      <c r="V104" s="163"/>
      <c r="W104" s="163"/>
      <c r="X104" s="163"/>
      <c r="Y104" s="164"/>
      <c r="Z104" s="171"/>
      <c r="AA104" s="163"/>
      <c r="AB104" s="163"/>
      <c r="AC104" s="163"/>
      <c r="AD104" s="163"/>
      <c r="AE104" s="164"/>
      <c r="AF104" s="169"/>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70"/>
      <c r="G105" s="170"/>
      <c r="H105" s="161"/>
      <c r="I105" s="161"/>
      <c r="J105" s="151"/>
      <c r="K105" s="170"/>
      <c r="L105" s="170"/>
      <c r="M105" s="161"/>
      <c r="N105" s="171"/>
      <c r="O105" s="163"/>
      <c r="P105" s="163"/>
      <c r="Q105" s="163"/>
      <c r="R105" s="163"/>
      <c r="S105" s="164"/>
      <c r="T105" s="162"/>
      <c r="U105" s="163"/>
      <c r="V105" s="163"/>
      <c r="W105" s="163"/>
      <c r="X105" s="163"/>
      <c r="Y105" s="164"/>
      <c r="Z105" s="171"/>
      <c r="AA105" s="163"/>
      <c r="AB105" s="163"/>
      <c r="AC105" s="163"/>
      <c r="AD105" s="163"/>
      <c r="AE105" s="164"/>
      <c r="AF105" s="169"/>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70"/>
      <c r="G106" s="170"/>
      <c r="H106" s="161"/>
      <c r="I106" s="161"/>
      <c r="J106" s="151"/>
      <c r="K106" s="170"/>
      <c r="L106" s="170"/>
      <c r="M106" s="161"/>
      <c r="N106" s="171"/>
      <c r="O106" s="163"/>
      <c r="P106" s="163"/>
      <c r="Q106" s="163"/>
      <c r="R106" s="163"/>
      <c r="S106" s="164"/>
      <c r="T106" s="162"/>
      <c r="U106" s="163"/>
      <c r="V106" s="163"/>
      <c r="W106" s="163"/>
      <c r="X106" s="163"/>
      <c r="Y106" s="164"/>
      <c r="Z106" s="171"/>
      <c r="AA106" s="163"/>
      <c r="AB106" s="163"/>
      <c r="AC106" s="163"/>
      <c r="AD106" s="163"/>
      <c r="AE106" s="164"/>
      <c r="AF106" s="169"/>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70"/>
      <c r="G107" s="170"/>
      <c r="H107" s="161"/>
      <c r="I107" s="161"/>
      <c r="J107" s="151"/>
      <c r="K107" s="170"/>
      <c r="L107" s="170"/>
      <c r="M107" s="161"/>
      <c r="N107" s="171"/>
      <c r="O107" s="163"/>
      <c r="P107" s="163"/>
      <c r="Q107" s="163"/>
      <c r="R107" s="163"/>
      <c r="S107" s="164"/>
      <c r="T107" s="162"/>
      <c r="U107" s="163"/>
      <c r="V107" s="163"/>
      <c r="W107" s="163"/>
      <c r="X107" s="163"/>
      <c r="Y107" s="164"/>
      <c r="Z107" s="171"/>
      <c r="AA107" s="163"/>
      <c r="AB107" s="163"/>
      <c r="AC107" s="163"/>
      <c r="AD107" s="163"/>
      <c r="AE107" s="164"/>
      <c r="AF107" s="169"/>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70"/>
      <c r="G108" s="170"/>
      <c r="H108" s="161"/>
      <c r="I108" s="161"/>
      <c r="J108" s="151"/>
      <c r="K108" s="170"/>
      <c r="L108" s="170"/>
      <c r="M108" s="161"/>
      <c r="N108" s="171"/>
      <c r="O108" s="163"/>
      <c r="P108" s="163"/>
      <c r="Q108" s="163"/>
      <c r="R108" s="163"/>
      <c r="S108" s="164"/>
      <c r="T108" s="162"/>
      <c r="U108" s="163"/>
      <c r="V108" s="163"/>
      <c r="W108" s="163"/>
      <c r="X108" s="163"/>
      <c r="Y108" s="164"/>
      <c r="Z108" s="171"/>
      <c r="AA108" s="163"/>
      <c r="AB108" s="163"/>
      <c r="AC108" s="163"/>
      <c r="AD108" s="163"/>
      <c r="AE108" s="164"/>
      <c r="AF108" s="169"/>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70"/>
      <c r="G109" s="170"/>
      <c r="H109" s="161"/>
      <c r="I109" s="161"/>
      <c r="J109" s="151"/>
      <c r="K109" s="170"/>
      <c r="L109" s="170"/>
      <c r="M109" s="161"/>
      <c r="N109" s="171"/>
      <c r="O109" s="163"/>
      <c r="P109" s="163"/>
      <c r="Q109" s="163"/>
      <c r="R109" s="163"/>
      <c r="S109" s="164"/>
      <c r="T109" s="162"/>
      <c r="U109" s="163"/>
      <c r="V109" s="163"/>
      <c r="W109" s="163"/>
      <c r="X109" s="163"/>
      <c r="Y109" s="164"/>
      <c r="Z109" s="171"/>
      <c r="AA109" s="163"/>
      <c r="AB109" s="163"/>
      <c r="AC109" s="163"/>
      <c r="AD109" s="163"/>
      <c r="AE109" s="164"/>
      <c r="AF109" s="169"/>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70"/>
      <c r="G110" s="170"/>
      <c r="H110" s="161"/>
      <c r="I110" s="161"/>
      <c r="J110" s="151"/>
      <c r="K110" s="170"/>
      <c r="L110" s="170"/>
      <c r="M110" s="161"/>
      <c r="N110" s="171"/>
      <c r="O110" s="163"/>
      <c r="P110" s="163"/>
      <c r="Q110" s="163"/>
      <c r="R110" s="163"/>
      <c r="S110" s="164"/>
      <c r="T110" s="162"/>
      <c r="U110" s="163"/>
      <c r="V110" s="163"/>
      <c r="W110" s="163"/>
      <c r="X110" s="163"/>
      <c r="Y110" s="164"/>
      <c r="Z110" s="171"/>
      <c r="AA110" s="163"/>
      <c r="AB110" s="163"/>
      <c r="AC110" s="163"/>
      <c r="AD110" s="163"/>
      <c r="AE110" s="164"/>
      <c r="AF110" s="169"/>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70"/>
      <c r="G111" s="170"/>
      <c r="H111" s="161"/>
      <c r="I111" s="161"/>
      <c r="J111" s="151"/>
      <c r="K111" s="170"/>
      <c r="L111" s="170"/>
      <c r="M111" s="161"/>
      <c r="N111" s="171"/>
      <c r="O111" s="163"/>
      <c r="P111" s="163"/>
      <c r="Q111" s="163"/>
      <c r="R111" s="163"/>
      <c r="S111" s="164"/>
      <c r="T111" s="162"/>
      <c r="U111" s="163"/>
      <c r="V111" s="163"/>
      <c r="W111" s="163"/>
      <c r="X111" s="163"/>
      <c r="Y111" s="164"/>
      <c r="Z111" s="171"/>
      <c r="AA111" s="163"/>
      <c r="AB111" s="163"/>
      <c r="AC111" s="163"/>
      <c r="AD111" s="163"/>
      <c r="AE111" s="164"/>
      <c r="AF111" s="169"/>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70"/>
      <c r="G112" s="170"/>
      <c r="H112" s="161"/>
      <c r="I112" s="161"/>
      <c r="J112" s="151"/>
      <c r="K112" s="170"/>
      <c r="L112" s="170"/>
      <c r="M112" s="161"/>
      <c r="N112" s="171"/>
      <c r="O112" s="163"/>
      <c r="P112" s="163"/>
      <c r="Q112" s="163"/>
      <c r="R112" s="163"/>
      <c r="S112" s="164"/>
      <c r="T112" s="162"/>
      <c r="U112" s="163"/>
      <c r="V112" s="163"/>
      <c r="W112" s="163"/>
      <c r="X112" s="163"/>
      <c r="Y112" s="164"/>
      <c r="Z112" s="171"/>
      <c r="AA112" s="163"/>
      <c r="AB112" s="163"/>
      <c r="AC112" s="163"/>
      <c r="AD112" s="163"/>
      <c r="AE112" s="164"/>
      <c r="AF112" s="169"/>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70"/>
      <c r="G113" s="170"/>
      <c r="H113" s="161"/>
      <c r="I113" s="161"/>
      <c r="J113" s="151"/>
      <c r="K113" s="170"/>
      <c r="L113" s="170"/>
      <c r="M113" s="161"/>
      <c r="N113" s="171"/>
      <c r="O113" s="163"/>
      <c r="P113" s="163"/>
      <c r="Q113" s="163"/>
      <c r="R113" s="163"/>
      <c r="S113" s="164"/>
      <c r="T113" s="162"/>
      <c r="U113" s="163"/>
      <c r="V113" s="163"/>
      <c r="W113" s="163"/>
      <c r="X113" s="163"/>
      <c r="Y113" s="164"/>
      <c r="Z113" s="171"/>
      <c r="AA113" s="163"/>
      <c r="AB113" s="163"/>
      <c r="AC113" s="163"/>
      <c r="AD113" s="163"/>
      <c r="AE113" s="164"/>
      <c r="AF113" s="169"/>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70"/>
      <c r="G114" s="170"/>
      <c r="H114" s="161"/>
      <c r="I114" s="161"/>
      <c r="J114" s="151"/>
      <c r="K114" s="170"/>
      <c r="L114" s="170"/>
      <c r="M114" s="161"/>
      <c r="N114" s="171"/>
      <c r="O114" s="163"/>
      <c r="P114" s="163"/>
      <c r="Q114" s="163"/>
      <c r="R114" s="163"/>
      <c r="S114" s="164"/>
      <c r="T114" s="162"/>
      <c r="U114" s="163"/>
      <c r="V114" s="163"/>
      <c r="W114" s="163"/>
      <c r="X114" s="163"/>
      <c r="Y114" s="164"/>
      <c r="Z114" s="171"/>
      <c r="AA114" s="163"/>
      <c r="AB114" s="163"/>
      <c r="AC114" s="163"/>
      <c r="AD114" s="163"/>
      <c r="AE114" s="164"/>
      <c r="AF114" s="169"/>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70"/>
      <c r="G115" s="170"/>
      <c r="H115" s="161"/>
      <c r="I115" s="161"/>
      <c r="J115" s="151"/>
      <c r="K115" s="170"/>
      <c r="L115" s="170"/>
      <c r="M115" s="161"/>
      <c r="N115" s="171"/>
      <c r="O115" s="163"/>
      <c r="P115" s="163"/>
      <c r="Q115" s="163"/>
      <c r="R115" s="163"/>
      <c r="S115" s="164"/>
      <c r="T115" s="162"/>
      <c r="U115" s="163"/>
      <c r="V115" s="163"/>
      <c r="W115" s="163"/>
      <c r="X115" s="163"/>
      <c r="Y115" s="164"/>
      <c r="Z115" s="171"/>
      <c r="AA115" s="163"/>
      <c r="AB115" s="163"/>
      <c r="AC115" s="163"/>
      <c r="AD115" s="163"/>
      <c r="AE115" s="164"/>
      <c r="AF115" s="169"/>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70"/>
      <c r="G116" s="170"/>
      <c r="H116" s="161"/>
      <c r="I116" s="161"/>
      <c r="J116" s="151"/>
      <c r="K116" s="170"/>
      <c r="L116" s="170"/>
      <c r="M116" s="161"/>
      <c r="N116" s="171"/>
      <c r="O116" s="163"/>
      <c r="P116" s="163"/>
      <c r="Q116" s="163"/>
      <c r="R116" s="163"/>
      <c r="S116" s="164"/>
      <c r="T116" s="162"/>
      <c r="U116" s="163"/>
      <c r="V116" s="163"/>
      <c r="W116" s="163"/>
      <c r="X116" s="163"/>
      <c r="Y116" s="164"/>
      <c r="Z116" s="171"/>
      <c r="AA116" s="163"/>
      <c r="AB116" s="163"/>
      <c r="AC116" s="163"/>
      <c r="AD116" s="163"/>
      <c r="AE116" s="164"/>
      <c r="AF116" s="169"/>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70"/>
      <c r="G117" s="170"/>
      <c r="H117" s="161"/>
      <c r="I117" s="161"/>
      <c r="J117" s="151"/>
      <c r="K117" s="170"/>
      <c r="L117" s="170"/>
      <c r="M117" s="161"/>
      <c r="N117" s="171"/>
      <c r="O117" s="163"/>
      <c r="P117" s="163"/>
      <c r="Q117" s="163"/>
      <c r="R117" s="163"/>
      <c r="S117" s="164"/>
      <c r="T117" s="162"/>
      <c r="U117" s="163"/>
      <c r="V117" s="163"/>
      <c r="W117" s="163"/>
      <c r="X117" s="163"/>
      <c r="Y117" s="164"/>
      <c r="Z117" s="171"/>
      <c r="AA117" s="163"/>
      <c r="AB117" s="163"/>
      <c r="AC117" s="163"/>
      <c r="AD117" s="163"/>
      <c r="AE117" s="164"/>
      <c r="AF117" s="169"/>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70"/>
      <c r="G118" s="170"/>
      <c r="H118" s="161"/>
      <c r="I118" s="161"/>
      <c r="J118" s="151"/>
      <c r="K118" s="170"/>
      <c r="L118" s="170"/>
      <c r="M118" s="161"/>
      <c r="N118" s="171"/>
      <c r="O118" s="163"/>
      <c r="P118" s="163"/>
      <c r="Q118" s="163"/>
      <c r="R118" s="163"/>
      <c r="S118" s="164"/>
      <c r="T118" s="162"/>
      <c r="U118" s="163"/>
      <c r="V118" s="163"/>
      <c r="W118" s="163"/>
      <c r="X118" s="163"/>
      <c r="Y118" s="164"/>
      <c r="Z118" s="171"/>
      <c r="AA118" s="163"/>
      <c r="AB118" s="163"/>
      <c r="AC118" s="163"/>
      <c r="AD118" s="163"/>
      <c r="AE118" s="164"/>
      <c r="AF118" s="169"/>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70"/>
      <c r="G119" s="170"/>
      <c r="H119" s="161"/>
      <c r="I119" s="161"/>
      <c r="J119" s="151"/>
      <c r="K119" s="170"/>
      <c r="L119" s="170"/>
      <c r="M119" s="161"/>
      <c r="N119" s="171"/>
      <c r="O119" s="163"/>
      <c r="P119" s="163"/>
      <c r="Q119" s="163"/>
      <c r="R119" s="163"/>
      <c r="S119" s="164"/>
      <c r="T119" s="162"/>
      <c r="U119" s="163"/>
      <c r="V119" s="163"/>
      <c r="W119" s="163"/>
      <c r="X119" s="163"/>
      <c r="Y119" s="164"/>
      <c r="Z119" s="171"/>
      <c r="AA119" s="163"/>
      <c r="AB119" s="163"/>
      <c r="AC119" s="163"/>
      <c r="AD119" s="163"/>
      <c r="AE119" s="164"/>
      <c r="AF119" s="169"/>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70"/>
      <c r="G120" s="170"/>
      <c r="H120" s="161"/>
      <c r="I120" s="161"/>
      <c r="J120" s="151"/>
      <c r="K120" s="170"/>
      <c r="L120" s="170"/>
      <c r="M120" s="161"/>
      <c r="N120" s="171"/>
      <c r="O120" s="163"/>
      <c r="P120" s="163"/>
      <c r="Q120" s="163"/>
      <c r="R120" s="163"/>
      <c r="S120" s="164"/>
      <c r="T120" s="162"/>
      <c r="U120" s="163"/>
      <c r="V120" s="163"/>
      <c r="W120" s="163"/>
      <c r="X120" s="163"/>
      <c r="Y120" s="164"/>
      <c r="Z120" s="171"/>
      <c r="AA120" s="163"/>
      <c r="AB120" s="163"/>
      <c r="AC120" s="163"/>
      <c r="AD120" s="163"/>
      <c r="AE120" s="164"/>
      <c r="AF120" s="169"/>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70"/>
      <c r="G121" s="170"/>
      <c r="H121" s="161"/>
      <c r="I121" s="161"/>
      <c r="J121" s="151"/>
      <c r="K121" s="170"/>
      <c r="L121" s="170"/>
      <c r="M121" s="161"/>
      <c r="N121" s="171"/>
      <c r="O121" s="163"/>
      <c r="P121" s="163"/>
      <c r="Q121" s="163"/>
      <c r="R121" s="163"/>
      <c r="S121" s="164"/>
      <c r="T121" s="162"/>
      <c r="U121" s="163"/>
      <c r="V121" s="163"/>
      <c r="W121" s="163"/>
      <c r="X121" s="163"/>
      <c r="Y121" s="164"/>
      <c r="Z121" s="171"/>
      <c r="AA121" s="163"/>
      <c r="AB121" s="163"/>
      <c r="AC121" s="163"/>
      <c r="AD121" s="163"/>
      <c r="AE121" s="164"/>
      <c r="AF121" s="169"/>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70"/>
      <c r="G122" s="170"/>
      <c r="H122" s="161"/>
      <c r="I122" s="161"/>
      <c r="J122" s="151"/>
      <c r="K122" s="170"/>
      <c r="L122" s="170"/>
      <c r="M122" s="161"/>
      <c r="N122" s="171"/>
      <c r="O122" s="163"/>
      <c r="P122" s="163"/>
      <c r="Q122" s="163"/>
      <c r="R122" s="163"/>
      <c r="S122" s="164"/>
      <c r="T122" s="162"/>
      <c r="U122" s="163"/>
      <c r="V122" s="163"/>
      <c r="W122" s="163"/>
      <c r="X122" s="163"/>
      <c r="Y122" s="164"/>
      <c r="Z122" s="171"/>
      <c r="AA122" s="163"/>
      <c r="AB122" s="163"/>
      <c r="AC122" s="163"/>
      <c r="AD122" s="163"/>
      <c r="AE122" s="164"/>
      <c r="AF122" s="169"/>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70"/>
      <c r="G123" s="170"/>
      <c r="H123" s="161"/>
      <c r="I123" s="161"/>
      <c r="J123" s="151"/>
      <c r="K123" s="170"/>
      <c r="L123" s="170"/>
      <c r="M123" s="161"/>
      <c r="N123" s="171"/>
      <c r="O123" s="163"/>
      <c r="P123" s="163"/>
      <c r="Q123" s="163"/>
      <c r="R123" s="163"/>
      <c r="S123" s="164"/>
      <c r="T123" s="162"/>
      <c r="U123" s="163"/>
      <c r="V123" s="163"/>
      <c r="W123" s="163"/>
      <c r="X123" s="163"/>
      <c r="Y123" s="164"/>
      <c r="Z123" s="171"/>
      <c r="AA123" s="163"/>
      <c r="AB123" s="163"/>
      <c r="AC123" s="163"/>
      <c r="AD123" s="163"/>
      <c r="AE123" s="164"/>
      <c r="AF123" s="169"/>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70"/>
      <c r="G124" s="170"/>
      <c r="H124" s="161"/>
      <c r="I124" s="161"/>
      <c r="J124" s="151"/>
      <c r="K124" s="170"/>
      <c r="L124" s="170"/>
      <c r="M124" s="161"/>
      <c r="N124" s="171"/>
      <c r="O124" s="163"/>
      <c r="P124" s="163"/>
      <c r="Q124" s="163"/>
      <c r="R124" s="163"/>
      <c r="S124" s="164"/>
      <c r="T124" s="162"/>
      <c r="U124" s="163"/>
      <c r="V124" s="163"/>
      <c r="W124" s="163"/>
      <c r="X124" s="163"/>
      <c r="Y124" s="164"/>
      <c r="Z124" s="171"/>
      <c r="AA124" s="163"/>
      <c r="AB124" s="163"/>
      <c r="AC124" s="163"/>
      <c r="AD124" s="163"/>
      <c r="AE124" s="164"/>
      <c r="AF124" s="169"/>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70"/>
      <c r="G125" s="170"/>
      <c r="H125" s="161"/>
      <c r="I125" s="161"/>
      <c r="J125" s="151"/>
      <c r="K125" s="170"/>
      <c r="L125" s="170"/>
      <c r="M125" s="161"/>
      <c r="N125" s="171"/>
      <c r="O125" s="163"/>
      <c r="P125" s="163"/>
      <c r="Q125" s="163"/>
      <c r="R125" s="163"/>
      <c r="S125" s="164"/>
      <c r="T125" s="162"/>
      <c r="U125" s="163"/>
      <c r="V125" s="163"/>
      <c r="W125" s="163"/>
      <c r="X125" s="163"/>
      <c r="Y125" s="164"/>
      <c r="Z125" s="171"/>
      <c r="AA125" s="163"/>
      <c r="AB125" s="163"/>
      <c r="AC125" s="163"/>
      <c r="AD125" s="163"/>
      <c r="AE125" s="164"/>
      <c r="AF125" s="169"/>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70"/>
      <c r="G126" s="170"/>
      <c r="H126" s="161"/>
      <c r="I126" s="161"/>
      <c r="J126" s="151"/>
      <c r="K126" s="170"/>
      <c r="L126" s="170"/>
      <c r="M126" s="161"/>
      <c r="N126" s="171"/>
      <c r="O126" s="163"/>
      <c r="P126" s="163"/>
      <c r="Q126" s="163"/>
      <c r="R126" s="163"/>
      <c r="S126" s="164"/>
      <c r="T126" s="162"/>
      <c r="U126" s="163"/>
      <c r="V126" s="163"/>
      <c r="W126" s="163"/>
      <c r="X126" s="163"/>
      <c r="Y126" s="164"/>
      <c r="Z126" s="171"/>
      <c r="AA126" s="163"/>
      <c r="AB126" s="163"/>
      <c r="AC126" s="163"/>
      <c r="AD126" s="163"/>
      <c r="AE126" s="164"/>
      <c r="AF126" s="169"/>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70"/>
      <c r="G127" s="170"/>
      <c r="H127" s="161"/>
      <c r="I127" s="161"/>
      <c r="J127" s="151"/>
      <c r="K127" s="170"/>
      <c r="L127" s="170"/>
      <c r="M127" s="161"/>
      <c r="N127" s="171"/>
      <c r="O127" s="163"/>
      <c r="P127" s="163"/>
      <c r="Q127" s="163"/>
      <c r="R127" s="163"/>
      <c r="S127" s="164"/>
      <c r="T127" s="162"/>
      <c r="U127" s="163"/>
      <c r="V127" s="163"/>
      <c r="W127" s="163"/>
      <c r="X127" s="163"/>
      <c r="Y127" s="164"/>
      <c r="Z127" s="171"/>
      <c r="AA127" s="163"/>
      <c r="AB127" s="163"/>
      <c r="AC127" s="163"/>
      <c r="AD127" s="163"/>
      <c r="AE127" s="164"/>
      <c r="AF127" s="169"/>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70"/>
      <c r="G128" s="170"/>
      <c r="H128" s="161"/>
      <c r="I128" s="161"/>
      <c r="J128" s="151"/>
      <c r="K128" s="170"/>
      <c r="L128" s="170"/>
      <c r="M128" s="161"/>
      <c r="N128" s="171"/>
      <c r="O128" s="163"/>
      <c r="P128" s="163"/>
      <c r="Q128" s="163"/>
      <c r="R128" s="163"/>
      <c r="S128" s="164"/>
      <c r="T128" s="162"/>
      <c r="U128" s="163"/>
      <c r="V128" s="163"/>
      <c r="W128" s="163"/>
      <c r="X128" s="163"/>
      <c r="Y128" s="164"/>
      <c r="Z128" s="171"/>
      <c r="AA128" s="163"/>
      <c r="AB128" s="163"/>
      <c r="AC128" s="163"/>
      <c r="AD128" s="163"/>
      <c r="AE128" s="164"/>
      <c r="AF128" s="169"/>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70"/>
      <c r="G129" s="170"/>
      <c r="H129" s="161"/>
      <c r="I129" s="161"/>
      <c r="J129" s="151"/>
      <c r="K129" s="170"/>
      <c r="L129" s="170"/>
      <c r="M129" s="161"/>
      <c r="N129" s="171"/>
      <c r="O129" s="163"/>
      <c r="P129" s="163"/>
      <c r="Q129" s="163"/>
      <c r="R129" s="163"/>
      <c r="S129" s="164"/>
      <c r="T129" s="162"/>
      <c r="U129" s="163"/>
      <c r="V129" s="163"/>
      <c r="W129" s="163"/>
      <c r="X129" s="163"/>
      <c r="Y129" s="164"/>
      <c r="Z129" s="171"/>
      <c r="AA129" s="163"/>
      <c r="AB129" s="163"/>
      <c r="AC129" s="163"/>
      <c r="AD129" s="163"/>
      <c r="AE129" s="164"/>
      <c r="AF129" s="169"/>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70"/>
      <c r="G130" s="170"/>
      <c r="H130" s="161"/>
      <c r="I130" s="161"/>
      <c r="J130" s="151"/>
      <c r="K130" s="170"/>
      <c r="L130" s="170"/>
      <c r="M130" s="161"/>
      <c r="N130" s="171"/>
      <c r="O130" s="163"/>
      <c r="P130" s="163"/>
      <c r="Q130" s="163"/>
      <c r="R130" s="163"/>
      <c r="S130" s="164"/>
      <c r="T130" s="162"/>
      <c r="U130" s="163"/>
      <c r="V130" s="163"/>
      <c r="W130" s="163"/>
      <c r="X130" s="163"/>
      <c r="Y130" s="164"/>
      <c r="Z130" s="171"/>
      <c r="AA130" s="163"/>
      <c r="AB130" s="163"/>
      <c r="AC130" s="163"/>
      <c r="AD130" s="163"/>
      <c r="AE130" s="164"/>
      <c r="AF130" s="169"/>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70"/>
      <c r="G131" s="170"/>
      <c r="H131" s="161"/>
      <c r="I131" s="161"/>
      <c r="J131" s="151"/>
      <c r="K131" s="170"/>
      <c r="L131" s="170"/>
      <c r="M131" s="161"/>
      <c r="N131" s="171"/>
      <c r="O131" s="163"/>
      <c r="P131" s="163"/>
      <c r="Q131" s="163"/>
      <c r="R131" s="163"/>
      <c r="S131" s="164"/>
      <c r="T131" s="162"/>
      <c r="U131" s="163"/>
      <c r="V131" s="163"/>
      <c r="W131" s="163"/>
      <c r="X131" s="163"/>
      <c r="Y131" s="164"/>
      <c r="Z131" s="171"/>
      <c r="AA131" s="163"/>
      <c r="AB131" s="163"/>
      <c r="AC131" s="163"/>
      <c r="AD131" s="163"/>
      <c r="AE131" s="164"/>
      <c r="AF131" s="169"/>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70"/>
      <c r="G132" s="170"/>
      <c r="H132" s="161"/>
      <c r="I132" s="161"/>
      <c r="J132" s="151"/>
      <c r="K132" s="170"/>
      <c r="L132" s="170"/>
      <c r="M132" s="161"/>
      <c r="N132" s="171"/>
      <c r="O132" s="163"/>
      <c r="P132" s="163"/>
      <c r="Q132" s="163"/>
      <c r="R132" s="163"/>
      <c r="S132" s="164"/>
      <c r="T132" s="162"/>
      <c r="U132" s="163"/>
      <c r="V132" s="163"/>
      <c r="W132" s="163"/>
      <c r="X132" s="163"/>
      <c r="Y132" s="164"/>
      <c r="Z132" s="171"/>
      <c r="AA132" s="163"/>
      <c r="AB132" s="163"/>
      <c r="AC132" s="163"/>
      <c r="AD132" s="163"/>
      <c r="AE132" s="164"/>
      <c r="AF132" s="169"/>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70"/>
      <c r="G133" s="170"/>
      <c r="H133" s="161"/>
      <c r="I133" s="161"/>
      <c r="J133" s="151"/>
      <c r="K133" s="170"/>
      <c r="L133" s="170"/>
      <c r="M133" s="161"/>
      <c r="N133" s="171"/>
      <c r="O133" s="163"/>
      <c r="P133" s="163"/>
      <c r="Q133" s="163"/>
      <c r="R133" s="163"/>
      <c r="S133" s="164"/>
      <c r="T133" s="162"/>
      <c r="U133" s="163"/>
      <c r="V133" s="163"/>
      <c r="W133" s="163"/>
      <c r="X133" s="163"/>
      <c r="Y133" s="164"/>
      <c r="Z133" s="171"/>
      <c r="AA133" s="163"/>
      <c r="AB133" s="163"/>
      <c r="AC133" s="163"/>
      <c r="AD133" s="163"/>
      <c r="AE133" s="164"/>
      <c r="AF133" s="169"/>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70"/>
      <c r="G134" s="170"/>
      <c r="H134" s="161"/>
      <c r="I134" s="161"/>
      <c r="J134" s="151"/>
      <c r="K134" s="170"/>
      <c r="L134" s="170"/>
      <c r="M134" s="161"/>
      <c r="N134" s="171"/>
      <c r="O134" s="163"/>
      <c r="P134" s="163"/>
      <c r="Q134" s="163"/>
      <c r="R134" s="163"/>
      <c r="S134" s="164"/>
      <c r="T134" s="162"/>
      <c r="U134" s="163"/>
      <c r="V134" s="163"/>
      <c r="W134" s="163"/>
      <c r="X134" s="163"/>
      <c r="Y134" s="164"/>
      <c r="Z134" s="171"/>
      <c r="AA134" s="163"/>
      <c r="AB134" s="163"/>
      <c r="AC134" s="163"/>
      <c r="AD134" s="163"/>
      <c r="AE134" s="164"/>
      <c r="AF134" s="169"/>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70"/>
      <c r="G135" s="170"/>
      <c r="H135" s="161"/>
      <c r="I135" s="161"/>
      <c r="J135" s="151"/>
      <c r="K135" s="170"/>
      <c r="L135" s="170"/>
      <c r="M135" s="161"/>
      <c r="N135" s="171"/>
      <c r="O135" s="163"/>
      <c r="P135" s="163"/>
      <c r="Q135" s="163"/>
      <c r="R135" s="163"/>
      <c r="S135" s="164"/>
      <c r="T135" s="162"/>
      <c r="U135" s="163"/>
      <c r="V135" s="163"/>
      <c r="W135" s="163"/>
      <c r="X135" s="163"/>
      <c r="Y135" s="164"/>
      <c r="Z135" s="171"/>
      <c r="AA135" s="163"/>
      <c r="AB135" s="163"/>
      <c r="AC135" s="163"/>
      <c r="AD135" s="163"/>
      <c r="AE135" s="164"/>
      <c r="AF135" s="169"/>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70"/>
      <c r="G136" s="170"/>
      <c r="H136" s="161"/>
      <c r="I136" s="161"/>
      <c r="J136" s="151"/>
      <c r="K136" s="170"/>
      <c r="L136" s="170"/>
      <c r="M136" s="161"/>
      <c r="N136" s="171"/>
      <c r="O136" s="163"/>
      <c r="P136" s="163"/>
      <c r="Q136" s="163"/>
      <c r="R136" s="163"/>
      <c r="S136" s="164"/>
      <c r="T136" s="162"/>
      <c r="U136" s="163"/>
      <c r="V136" s="163"/>
      <c r="W136" s="163"/>
      <c r="X136" s="163"/>
      <c r="Y136" s="164"/>
      <c r="Z136" s="171"/>
      <c r="AA136" s="163"/>
      <c r="AB136" s="163"/>
      <c r="AC136" s="163"/>
      <c r="AD136" s="163"/>
      <c r="AE136" s="164"/>
      <c r="AF136" s="169"/>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70"/>
      <c r="G137" s="170"/>
      <c r="H137" s="161"/>
      <c r="I137" s="161"/>
      <c r="J137" s="151"/>
      <c r="K137" s="170"/>
      <c r="L137" s="170"/>
      <c r="M137" s="161"/>
      <c r="N137" s="171"/>
      <c r="O137" s="163"/>
      <c r="P137" s="163"/>
      <c r="Q137" s="163"/>
      <c r="R137" s="163"/>
      <c r="S137" s="164"/>
      <c r="T137" s="162"/>
      <c r="U137" s="163"/>
      <c r="V137" s="163"/>
      <c r="W137" s="163"/>
      <c r="X137" s="163"/>
      <c r="Y137" s="164"/>
      <c r="Z137" s="171"/>
      <c r="AA137" s="163"/>
      <c r="AB137" s="163"/>
      <c r="AC137" s="163"/>
      <c r="AD137" s="163"/>
      <c r="AE137" s="164"/>
      <c r="AF137" s="169"/>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70"/>
      <c r="G138" s="170"/>
      <c r="H138" s="161"/>
      <c r="I138" s="161"/>
      <c r="J138" s="151"/>
      <c r="K138" s="170"/>
      <c r="L138" s="170"/>
      <c r="M138" s="161"/>
      <c r="N138" s="171"/>
      <c r="O138" s="163"/>
      <c r="P138" s="163"/>
      <c r="Q138" s="163"/>
      <c r="R138" s="163"/>
      <c r="S138" s="164"/>
      <c r="T138" s="162"/>
      <c r="U138" s="163"/>
      <c r="V138" s="163"/>
      <c r="W138" s="163"/>
      <c r="X138" s="163"/>
      <c r="Y138" s="164"/>
      <c r="Z138" s="171"/>
      <c r="AA138" s="163"/>
      <c r="AB138" s="163"/>
      <c r="AC138" s="163"/>
      <c r="AD138" s="163"/>
      <c r="AE138" s="164"/>
      <c r="AF138" s="169"/>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70"/>
      <c r="G139" s="170"/>
      <c r="H139" s="161"/>
      <c r="I139" s="161"/>
      <c r="J139" s="151"/>
      <c r="K139" s="170"/>
      <c r="L139" s="170"/>
      <c r="M139" s="161"/>
      <c r="N139" s="171"/>
      <c r="O139" s="163"/>
      <c r="P139" s="163"/>
      <c r="Q139" s="163"/>
      <c r="R139" s="163"/>
      <c r="S139" s="164"/>
      <c r="T139" s="162"/>
      <c r="U139" s="163"/>
      <c r="V139" s="163"/>
      <c r="W139" s="163"/>
      <c r="X139" s="163"/>
      <c r="Y139" s="164"/>
      <c r="Z139" s="171"/>
      <c r="AA139" s="163"/>
      <c r="AB139" s="163"/>
      <c r="AC139" s="163"/>
      <c r="AD139" s="163"/>
      <c r="AE139" s="164"/>
      <c r="AF139" s="169"/>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70"/>
      <c r="G140" s="170"/>
      <c r="H140" s="161"/>
      <c r="I140" s="161"/>
      <c r="J140" s="151"/>
      <c r="K140" s="170"/>
      <c r="L140" s="170"/>
      <c r="M140" s="161"/>
      <c r="N140" s="171"/>
      <c r="O140" s="163"/>
      <c r="P140" s="163"/>
      <c r="Q140" s="163"/>
      <c r="R140" s="163"/>
      <c r="S140" s="164"/>
      <c r="T140" s="162"/>
      <c r="U140" s="163"/>
      <c r="V140" s="163"/>
      <c r="W140" s="163"/>
      <c r="X140" s="163"/>
      <c r="Y140" s="164"/>
      <c r="Z140" s="171"/>
      <c r="AA140" s="163"/>
      <c r="AB140" s="163"/>
      <c r="AC140" s="163"/>
      <c r="AD140" s="163"/>
      <c r="AE140" s="164"/>
      <c r="AF140" s="169"/>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70"/>
      <c r="G141" s="170"/>
      <c r="H141" s="161"/>
      <c r="I141" s="161"/>
      <c r="J141" s="151"/>
      <c r="K141" s="170"/>
      <c r="L141" s="170"/>
      <c r="M141" s="161"/>
      <c r="N141" s="171"/>
      <c r="O141" s="163"/>
      <c r="P141" s="163"/>
      <c r="Q141" s="163"/>
      <c r="R141" s="163"/>
      <c r="S141" s="164"/>
      <c r="T141" s="162"/>
      <c r="U141" s="163"/>
      <c r="V141" s="163"/>
      <c r="W141" s="163"/>
      <c r="X141" s="163"/>
      <c r="Y141" s="164"/>
      <c r="Z141" s="171"/>
      <c r="AA141" s="163"/>
      <c r="AB141" s="163"/>
      <c r="AC141" s="163"/>
      <c r="AD141" s="163"/>
      <c r="AE141" s="164"/>
      <c r="AF141" s="169"/>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70"/>
      <c r="G142" s="170"/>
      <c r="H142" s="161"/>
      <c r="I142" s="161"/>
      <c r="J142" s="151"/>
      <c r="K142" s="170"/>
      <c r="L142" s="170"/>
      <c r="M142" s="161"/>
      <c r="N142" s="171"/>
      <c r="O142" s="163"/>
      <c r="P142" s="163"/>
      <c r="Q142" s="163"/>
      <c r="R142" s="163"/>
      <c r="S142" s="164"/>
      <c r="T142" s="162"/>
      <c r="U142" s="163"/>
      <c r="V142" s="163"/>
      <c r="W142" s="163"/>
      <c r="X142" s="163"/>
      <c r="Y142" s="164"/>
      <c r="Z142" s="171"/>
      <c r="AA142" s="163"/>
      <c r="AB142" s="163"/>
      <c r="AC142" s="163"/>
      <c r="AD142" s="163"/>
      <c r="AE142" s="164"/>
      <c r="AF142" s="169"/>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70"/>
      <c r="G143" s="170"/>
      <c r="H143" s="161"/>
      <c r="I143" s="161"/>
      <c r="J143" s="151"/>
      <c r="K143" s="170"/>
      <c r="L143" s="170"/>
      <c r="M143" s="161"/>
      <c r="N143" s="171"/>
      <c r="O143" s="163"/>
      <c r="P143" s="163"/>
      <c r="Q143" s="163"/>
      <c r="R143" s="163"/>
      <c r="S143" s="164"/>
      <c r="T143" s="162"/>
      <c r="U143" s="163"/>
      <c r="V143" s="163"/>
      <c r="W143" s="163"/>
      <c r="X143" s="163"/>
      <c r="Y143" s="164"/>
      <c r="Z143" s="171"/>
      <c r="AA143" s="163"/>
      <c r="AB143" s="163"/>
      <c r="AC143" s="163"/>
      <c r="AD143" s="163"/>
      <c r="AE143" s="164"/>
      <c r="AF143" s="169"/>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70"/>
      <c r="G144" s="170"/>
      <c r="H144" s="161"/>
      <c r="I144" s="161"/>
      <c r="J144" s="151"/>
      <c r="K144" s="170"/>
      <c r="L144" s="170"/>
      <c r="M144" s="161"/>
      <c r="N144" s="171"/>
      <c r="O144" s="163"/>
      <c r="P144" s="163"/>
      <c r="Q144" s="163"/>
      <c r="R144" s="163"/>
      <c r="S144" s="164"/>
      <c r="T144" s="162"/>
      <c r="U144" s="163"/>
      <c r="V144" s="163"/>
      <c r="W144" s="163"/>
      <c r="X144" s="163"/>
      <c r="Y144" s="164"/>
      <c r="Z144" s="171"/>
      <c r="AA144" s="163"/>
      <c r="AB144" s="163"/>
      <c r="AC144" s="163"/>
      <c r="AD144" s="163"/>
      <c r="AE144" s="164"/>
      <c r="AF144" s="169"/>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70"/>
      <c r="G145" s="170"/>
      <c r="H145" s="161"/>
      <c r="I145" s="161"/>
      <c r="J145" s="151"/>
      <c r="K145" s="170"/>
      <c r="L145" s="170"/>
      <c r="M145" s="161"/>
      <c r="N145" s="171"/>
      <c r="O145" s="163"/>
      <c r="P145" s="163"/>
      <c r="Q145" s="163"/>
      <c r="R145" s="163"/>
      <c r="S145" s="164"/>
      <c r="T145" s="162"/>
      <c r="U145" s="163"/>
      <c r="V145" s="163"/>
      <c r="W145" s="163"/>
      <c r="X145" s="163"/>
      <c r="Y145" s="164"/>
      <c r="Z145" s="171"/>
      <c r="AA145" s="163"/>
      <c r="AB145" s="163"/>
      <c r="AC145" s="163"/>
      <c r="AD145" s="163"/>
      <c r="AE145" s="164"/>
      <c r="AF145" s="169"/>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70"/>
      <c r="G146" s="170"/>
      <c r="H146" s="161"/>
      <c r="I146" s="161"/>
      <c r="J146" s="151"/>
      <c r="K146" s="170"/>
      <c r="L146" s="170"/>
      <c r="M146" s="161"/>
      <c r="N146" s="171"/>
      <c r="O146" s="163"/>
      <c r="P146" s="163"/>
      <c r="Q146" s="163"/>
      <c r="R146" s="163"/>
      <c r="S146" s="164"/>
      <c r="T146" s="162"/>
      <c r="U146" s="163"/>
      <c r="V146" s="163"/>
      <c r="W146" s="163"/>
      <c r="X146" s="163"/>
      <c r="Y146" s="164"/>
      <c r="Z146" s="171"/>
      <c r="AA146" s="163"/>
      <c r="AB146" s="163"/>
      <c r="AC146" s="163"/>
      <c r="AD146" s="163"/>
      <c r="AE146" s="164"/>
      <c r="AF146" s="169"/>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70"/>
      <c r="G147" s="170"/>
      <c r="H147" s="161"/>
      <c r="I147" s="161"/>
      <c r="J147" s="151"/>
      <c r="K147" s="170"/>
      <c r="L147" s="170"/>
      <c r="M147" s="161"/>
      <c r="N147" s="171"/>
      <c r="O147" s="163"/>
      <c r="P147" s="163"/>
      <c r="Q147" s="163"/>
      <c r="R147" s="163"/>
      <c r="S147" s="164"/>
      <c r="T147" s="162"/>
      <c r="U147" s="163"/>
      <c r="V147" s="163"/>
      <c r="W147" s="163"/>
      <c r="X147" s="163"/>
      <c r="Y147" s="164"/>
      <c r="Z147" s="171"/>
      <c r="AA147" s="163"/>
      <c r="AB147" s="163"/>
      <c r="AC147" s="163"/>
      <c r="AD147" s="163"/>
      <c r="AE147" s="164"/>
      <c r="AF147" s="169"/>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70"/>
      <c r="G148" s="170"/>
      <c r="H148" s="161"/>
      <c r="I148" s="161"/>
      <c r="J148" s="151"/>
      <c r="K148" s="170"/>
      <c r="L148" s="170"/>
      <c r="M148" s="161"/>
      <c r="N148" s="171"/>
      <c r="O148" s="163"/>
      <c r="P148" s="163"/>
      <c r="Q148" s="163"/>
      <c r="R148" s="163"/>
      <c r="S148" s="164"/>
      <c r="T148" s="162"/>
      <c r="U148" s="163"/>
      <c r="V148" s="163"/>
      <c r="W148" s="163"/>
      <c r="X148" s="163"/>
      <c r="Y148" s="164"/>
      <c r="Z148" s="171"/>
      <c r="AA148" s="163"/>
      <c r="AB148" s="163"/>
      <c r="AC148" s="163"/>
      <c r="AD148" s="163"/>
      <c r="AE148" s="164"/>
      <c r="AF148" s="169"/>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70"/>
      <c r="G149" s="170"/>
      <c r="H149" s="161"/>
      <c r="I149" s="161"/>
      <c r="J149" s="151"/>
      <c r="K149" s="170"/>
      <c r="L149" s="170"/>
      <c r="M149" s="161"/>
      <c r="N149" s="171"/>
      <c r="O149" s="163"/>
      <c r="P149" s="163"/>
      <c r="Q149" s="163"/>
      <c r="R149" s="163"/>
      <c r="S149" s="164"/>
      <c r="T149" s="162"/>
      <c r="U149" s="163"/>
      <c r="V149" s="163"/>
      <c r="W149" s="163"/>
      <c r="X149" s="163"/>
      <c r="Y149" s="164"/>
      <c r="Z149" s="171"/>
      <c r="AA149" s="163"/>
      <c r="AB149" s="163"/>
      <c r="AC149" s="163"/>
      <c r="AD149" s="163"/>
      <c r="AE149" s="164"/>
      <c r="AF149" s="169"/>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70"/>
      <c r="G150" s="170"/>
      <c r="H150" s="161"/>
      <c r="I150" s="161"/>
      <c r="J150" s="151"/>
      <c r="K150" s="170"/>
      <c r="L150" s="170"/>
      <c r="M150" s="161"/>
      <c r="N150" s="171"/>
      <c r="O150" s="163"/>
      <c r="P150" s="163"/>
      <c r="Q150" s="163"/>
      <c r="R150" s="163"/>
      <c r="S150" s="164"/>
      <c r="T150" s="162"/>
      <c r="U150" s="163"/>
      <c r="V150" s="163"/>
      <c r="W150" s="163"/>
      <c r="X150" s="163"/>
      <c r="Y150" s="164"/>
      <c r="Z150" s="171"/>
      <c r="AA150" s="163"/>
      <c r="AB150" s="163"/>
      <c r="AC150" s="163"/>
      <c r="AD150" s="163"/>
      <c r="AE150" s="164"/>
      <c r="AF150" s="169"/>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70"/>
      <c r="G151" s="170"/>
      <c r="H151" s="161"/>
      <c r="I151" s="161"/>
      <c r="J151" s="151"/>
      <c r="K151" s="170"/>
      <c r="L151" s="170"/>
      <c r="M151" s="161"/>
      <c r="N151" s="171"/>
      <c r="O151" s="163"/>
      <c r="P151" s="163"/>
      <c r="Q151" s="163"/>
      <c r="R151" s="163"/>
      <c r="S151" s="164"/>
      <c r="T151" s="162"/>
      <c r="U151" s="163"/>
      <c r="V151" s="163"/>
      <c r="W151" s="163"/>
      <c r="X151" s="163"/>
      <c r="Y151" s="164"/>
      <c r="Z151" s="171"/>
      <c r="AA151" s="163"/>
      <c r="AB151" s="163"/>
      <c r="AC151" s="163"/>
      <c r="AD151" s="163"/>
      <c r="AE151" s="164"/>
      <c r="AF151" s="169"/>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70"/>
      <c r="G152" s="170"/>
      <c r="H152" s="161"/>
      <c r="I152" s="161"/>
      <c r="J152" s="151"/>
      <c r="K152" s="170"/>
      <c r="L152" s="170"/>
      <c r="M152" s="161"/>
      <c r="N152" s="171"/>
      <c r="O152" s="163"/>
      <c r="P152" s="163"/>
      <c r="Q152" s="163"/>
      <c r="R152" s="163"/>
      <c r="S152" s="164"/>
      <c r="T152" s="162"/>
      <c r="U152" s="163"/>
      <c r="V152" s="163"/>
      <c r="W152" s="163"/>
      <c r="X152" s="163"/>
      <c r="Y152" s="164"/>
      <c r="Z152" s="171"/>
      <c r="AA152" s="163"/>
      <c r="AB152" s="163"/>
      <c r="AC152" s="163"/>
      <c r="AD152" s="163"/>
      <c r="AE152" s="164"/>
      <c r="AF152" s="169"/>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70"/>
      <c r="G153" s="170"/>
      <c r="H153" s="161"/>
      <c r="I153" s="161"/>
      <c r="J153" s="151"/>
      <c r="K153" s="170"/>
      <c r="L153" s="170"/>
      <c r="M153" s="161"/>
      <c r="N153" s="171"/>
      <c r="O153" s="163"/>
      <c r="P153" s="163"/>
      <c r="Q153" s="163"/>
      <c r="R153" s="163"/>
      <c r="S153" s="164"/>
      <c r="T153" s="162"/>
      <c r="U153" s="163"/>
      <c r="V153" s="163"/>
      <c r="W153" s="163"/>
      <c r="X153" s="163"/>
      <c r="Y153" s="164"/>
      <c r="Z153" s="171"/>
      <c r="AA153" s="163"/>
      <c r="AB153" s="163"/>
      <c r="AC153" s="163"/>
      <c r="AD153" s="163"/>
      <c r="AE153" s="164"/>
      <c r="AF153" s="169"/>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70"/>
      <c r="G154" s="170"/>
      <c r="H154" s="161"/>
      <c r="I154" s="161"/>
      <c r="J154" s="151"/>
      <c r="K154" s="170"/>
      <c r="L154" s="170"/>
      <c r="M154" s="161"/>
      <c r="N154" s="171"/>
      <c r="O154" s="163"/>
      <c r="P154" s="163"/>
      <c r="Q154" s="163"/>
      <c r="R154" s="163"/>
      <c r="S154" s="164"/>
      <c r="T154" s="162"/>
      <c r="U154" s="163"/>
      <c r="V154" s="163"/>
      <c r="W154" s="163"/>
      <c r="X154" s="163"/>
      <c r="Y154" s="164"/>
      <c r="Z154" s="171"/>
      <c r="AA154" s="163"/>
      <c r="AB154" s="163"/>
      <c r="AC154" s="163"/>
      <c r="AD154" s="163"/>
      <c r="AE154" s="164"/>
      <c r="AF154" s="169"/>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70"/>
      <c r="G155" s="170"/>
      <c r="H155" s="161"/>
      <c r="I155" s="161"/>
      <c r="J155" s="151"/>
      <c r="K155" s="170"/>
      <c r="L155" s="170"/>
      <c r="M155" s="161"/>
      <c r="N155" s="171"/>
      <c r="O155" s="163"/>
      <c r="P155" s="163"/>
      <c r="Q155" s="163"/>
      <c r="R155" s="163"/>
      <c r="S155" s="164"/>
      <c r="T155" s="162"/>
      <c r="U155" s="163"/>
      <c r="V155" s="163"/>
      <c r="W155" s="163"/>
      <c r="X155" s="163"/>
      <c r="Y155" s="164"/>
      <c r="Z155" s="171"/>
      <c r="AA155" s="163"/>
      <c r="AB155" s="163"/>
      <c r="AC155" s="163"/>
      <c r="AD155" s="163"/>
      <c r="AE155" s="164"/>
      <c r="AF155" s="169"/>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70"/>
      <c r="G156" s="170"/>
      <c r="H156" s="161"/>
      <c r="I156" s="161"/>
      <c r="J156" s="151"/>
      <c r="K156" s="170"/>
      <c r="L156" s="170"/>
      <c r="M156" s="161"/>
      <c r="N156" s="171"/>
      <c r="O156" s="163"/>
      <c r="P156" s="163"/>
      <c r="Q156" s="163"/>
      <c r="R156" s="163"/>
      <c r="S156" s="164"/>
      <c r="T156" s="162"/>
      <c r="U156" s="163"/>
      <c r="V156" s="163"/>
      <c r="W156" s="163"/>
      <c r="X156" s="163"/>
      <c r="Y156" s="164"/>
      <c r="Z156" s="171"/>
      <c r="AA156" s="163"/>
      <c r="AB156" s="163"/>
      <c r="AC156" s="163"/>
      <c r="AD156" s="163"/>
      <c r="AE156" s="164"/>
      <c r="AF156" s="169"/>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70"/>
      <c r="G157" s="170"/>
      <c r="H157" s="161"/>
      <c r="I157" s="161"/>
      <c r="J157" s="151"/>
      <c r="K157" s="170"/>
      <c r="L157" s="170"/>
      <c r="M157" s="161"/>
      <c r="N157" s="171"/>
      <c r="O157" s="163"/>
      <c r="P157" s="163"/>
      <c r="Q157" s="163"/>
      <c r="R157" s="163"/>
      <c r="S157" s="164"/>
      <c r="T157" s="162"/>
      <c r="U157" s="163"/>
      <c r="V157" s="163"/>
      <c r="W157" s="163"/>
      <c r="X157" s="163"/>
      <c r="Y157" s="164"/>
      <c r="Z157" s="171"/>
      <c r="AA157" s="163"/>
      <c r="AB157" s="163"/>
      <c r="AC157" s="163"/>
      <c r="AD157" s="163"/>
      <c r="AE157" s="164"/>
      <c r="AF157" s="169"/>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70"/>
      <c r="G158" s="170"/>
      <c r="H158" s="161"/>
      <c r="I158" s="161"/>
      <c r="J158" s="151"/>
      <c r="K158" s="170"/>
      <c r="L158" s="170"/>
      <c r="M158" s="161"/>
      <c r="N158" s="171"/>
      <c r="O158" s="163"/>
      <c r="P158" s="163"/>
      <c r="Q158" s="163"/>
      <c r="R158" s="163"/>
      <c r="S158" s="164"/>
      <c r="T158" s="162"/>
      <c r="U158" s="163"/>
      <c r="V158" s="163"/>
      <c r="W158" s="163"/>
      <c r="X158" s="163"/>
      <c r="Y158" s="164"/>
      <c r="Z158" s="171"/>
      <c r="AA158" s="163"/>
      <c r="AB158" s="163"/>
      <c r="AC158" s="163"/>
      <c r="AD158" s="163"/>
      <c r="AE158" s="164"/>
      <c r="AF158" s="169"/>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70"/>
      <c r="G159" s="170"/>
      <c r="H159" s="161"/>
      <c r="I159" s="161"/>
      <c r="J159" s="151"/>
      <c r="K159" s="170"/>
      <c r="L159" s="170"/>
      <c r="M159" s="161"/>
      <c r="N159" s="171"/>
      <c r="O159" s="163"/>
      <c r="P159" s="163"/>
      <c r="Q159" s="163"/>
      <c r="R159" s="163"/>
      <c r="S159" s="164"/>
      <c r="T159" s="162"/>
      <c r="U159" s="163"/>
      <c r="V159" s="163"/>
      <c r="W159" s="163"/>
      <c r="X159" s="163"/>
      <c r="Y159" s="164"/>
      <c r="Z159" s="171"/>
      <c r="AA159" s="163"/>
      <c r="AB159" s="163"/>
      <c r="AC159" s="163"/>
      <c r="AD159" s="163"/>
      <c r="AE159" s="164"/>
      <c r="AF159" s="169"/>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70"/>
      <c r="G160" s="170"/>
      <c r="H160" s="161"/>
      <c r="I160" s="161"/>
      <c r="J160" s="151"/>
      <c r="K160" s="170"/>
      <c r="L160" s="170"/>
      <c r="M160" s="161"/>
      <c r="N160" s="171"/>
      <c r="O160" s="163"/>
      <c r="P160" s="163"/>
      <c r="Q160" s="163"/>
      <c r="R160" s="163"/>
      <c r="S160" s="164"/>
      <c r="T160" s="162"/>
      <c r="U160" s="163"/>
      <c r="V160" s="163"/>
      <c r="W160" s="163"/>
      <c r="X160" s="163"/>
      <c r="Y160" s="164"/>
      <c r="Z160" s="171"/>
      <c r="AA160" s="163"/>
      <c r="AB160" s="163"/>
      <c r="AC160" s="163"/>
      <c r="AD160" s="163"/>
      <c r="AE160" s="164"/>
      <c r="AF160" s="169"/>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70"/>
      <c r="G161" s="170"/>
      <c r="H161" s="161"/>
      <c r="I161" s="161"/>
      <c r="J161" s="151"/>
      <c r="K161" s="170"/>
      <c r="L161" s="170"/>
      <c r="M161" s="161"/>
      <c r="N161" s="171"/>
      <c r="O161" s="163"/>
      <c r="P161" s="163"/>
      <c r="Q161" s="163"/>
      <c r="R161" s="163"/>
      <c r="S161" s="164"/>
      <c r="T161" s="162"/>
      <c r="U161" s="163"/>
      <c r="V161" s="163"/>
      <c r="W161" s="163"/>
      <c r="X161" s="163"/>
      <c r="Y161" s="164"/>
      <c r="Z161" s="171"/>
      <c r="AA161" s="163"/>
      <c r="AB161" s="163"/>
      <c r="AC161" s="163"/>
      <c r="AD161" s="163"/>
      <c r="AE161" s="164"/>
      <c r="AF161" s="169"/>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70"/>
      <c r="G162" s="170"/>
      <c r="H162" s="161"/>
      <c r="I162" s="161"/>
      <c r="J162" s="151"/>
      <c r="K162" s="170"/>
      <c r="L162" s="170"/>
      <c r="M162" s="161"/>
      <c r="N162" s="171"/>
      <c r="O162" s="163"/>
      <c r="P162" s="163"/>
      <c r="Q162" s="163"/>
      <c r="R162" s="163"/>
      <c r="S162" s="164"/>
      <c r="T162" s="162"/>
      <c r="U162" s="163"/>
      <c r="V162" s="163"/>
      <c r="W162" s="163"/>
      <c r="X162" s="163"/>
      <c r="Y162" s="164"/>
      <c r="Z162" s="171"/>
      <c r="AA162" s="163"/>
      <c r="AB162" s="163"/>
      <c r="AC162" s="163"/>
      <c r="AD162" s="163"/>
      <c r="AE162" s="164"/>
      <c r="AF162" s="169"/>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70"/>
      <c r="G163" s="170"/>
      <c r="H163" s="161"/>
      <c r="I163" s="161"/>
      <c r="J163" s="151"/>
      <c r="K163" s="170"/>
      <c r="L163" s="170"/>
      <c r="M163" s="161"/>
      <c r="N163" s="171"/>
      <c r="O163" s="163"/>
      <c r="P163" s="163"/>
      <c r="Q163" s="163"/>
      <c r="R163" s="163"/>
      <c r="S163" s="164"/>
      <c r="T163" s="162"/>
      <c r="U163" s="163"/>
      <c r="V163" s="163"/>
      <c r="W163" s="163"/>
      <c r="X163" s="163"/>
      <c r="Y163" s="164"/>
      <c r="Z163" s="171"/>
      <c r="AA163" s="163"/>
      <c r="AB163" s="163"/>
      <c r="AC163" s="163"/>
      <c r="AD163" s="163"/>
      <c r="AE163" s="164"/>
      <c r="AF163" s="169"/>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70"/>
      <c r="G164" s="170"/>
      <c r="H164" s="161"/>
      <c r="I164" s="161"/>
      <c r="J164" s="151"/>
      <c r="K164" s="170"/>
      <c r="L164" s="170"/>
      <c r="M164" s="161"/>
      <c r="N164" s="171"/>
      <c r="O164" s="163"/>
      <c r="P164" s="163"/>
      <c r="Q164" s="163"/>
      <c r="R164" s="163"/>
      <c r="S164" s="164"/>
      <c r="T164" s="162"/>
      <c r="U164" s="163"/>
      <c r="V164" s="163"/>
      <c r="W164" s="163"/>
      <c r="X164" s="163"/>
      <c r="Y164" s="164"/>
      <c r="Z164" s="171"/>
      <c r="AA164" s="163"/>
      <c r="AB164" s="163"/>
      <c r="AC164" s="163"/>
      <c r="AD164" s="163"/>
      <c r="AE164" s="164"/>
      <c r="AF164" s="169"/>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70"/>
      <c r="G165" s="170"/>
      <c r="H165" s="161"/>
      <c r="I165" s="161"/>
      <c r="J165" s="151"/>
      <c r="K165" s="170"/>
      <c r="L165" s="170"/>
      <c r="M165" s="161"/>
      <c r="N165" s="171"/>
      <c r="O165" s="163"/>
      <c r="P165" s="163"/>
      <c r="Q165" s="163"/>
      <c r="R165" s="163"/>
      <c r="S165" s="164"/>
      <c r="T165" s="162"/>
      <c r="U165" s="163"/>
      <c r="V165" s="163"/>
      <c r="W165" s="163"/>
      <c r="X165" s="163"/>
      <c r="Y165" s="164"/>
      <c r="Z165" s="171"/>
      <c r="AA165" s="163"/>
      <c r="AB165" s="163"/>
      <c r="AC165" s="163"/>
      <c r="AD165" s="163"/>
      <c r="AE165" s="164"/>
      <c r="AF165" s="169"/>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70"/>
      <c r="G166" s="170"/>
      <c r="H166" s="161"/>
      <c r="I166" s="161"/>
      <c r="J166" s="151"/>
      <c r="K166" s="170"/>
      <c r="L166" s="170"/>
      <c r="M166" s="161"/>
      <c r="N166" s="171"/>
      <c r="O166" s="163"/>
      <c r="P166" s="163"/>
      <c r="Q166" s="163"/>
      <c r="R166" s="163"/>
      <c r="S166" s="164"/>
      <c r="T166" s="162"/>
      <c r="U166" s="163"/>
      <c r="V166" s="163"/>
      <c r="W166" s="163"/>
      <c r="X166" s="163"/>
      <c r="Y166" s="164"/>
      <c r="Z166" s="171"/>
      <c r="AA166" s="163"/>
      <c r="AB166" s="163"/>
      <c r="AC166" s="163"/>
      <c r="AD166" s="163"/>
      <c r="AE166" s="164"/>
      <c r="AF166" s="169"/>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70"/>
      <c r="G167" s="170"/>
      <c r="H167" s="161"/>
      <c r="I167" s="161"/>
      <c r="J167" s="151"/>
      <c r="K167" s="170"/>
      <c r="L167" s="170"/>
      <c r="M167" s="161"/>
      <c r="N167" s="171"/>
      <c r="O167" s="163"/>
      <c r="P167" s="163"/>
      <c r="Q167" s="163"/>
      <c r="R167" s="163"/>
      <c r="S167" s="164"/>
      <c r="T167" s="162"/>
      <c r="U167" s="163"/>
      <c r="V167" s="163"/>
      <c r="W167" s="163"/>
      <c r="X167" s="163"/>
      <c r="Y167" s="164"/>
      <c r="Z167" s="171"/>
      <c r="AA167" s="163"/>
      <c r="AB167" s="163"/>
      <c r="AC167" s="163"/>
      <c r="AD167" s="163"/>
      <c r="AE167" s="164"/>
      <c r="AF167" s="169"/>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70"/>
      <c r="G168" s="170"/>
      <c r="H168" s="161"/>
      <c r="I168" s="161"/>
      <c r="J168" s="151"/>
      <c r="K168" s="170"/>
      <c r="L168" s="170"/>
      <c r="M168" s="161"/>
      <c r="N168" s="171"/>
      <c r="O168" s="163"/>
      <c r="P168" s="163"/>
      <c r="Q168" s="163"/>
      <c r="R168" s="163"/>
      <c r="S168" s="164"/>
      <c r="T168" s="162"/>
      <c r="U168" s="163"/>
      <c r="V168" s="163"/>
      <c r="W168" s="163"/>
      <c r="X168" s="163"/>
      <c r="Y168" s="164"/>
      <c r="Z168" s="171"/>
      <c r="AA168" s="163"/>
      <c r="AB168" s="163"/>
      <c r="AC168" s="163"/>
      <c r="AD168" s="163"/>
      <c r="AE168" s="164"/>
      <c r="AF168" s="169"/>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70"/>
      <c r="G169" s="170"/>
      <c r="H169" s="161"/>
      <c r="I169" s="161"/>
      <c r="J169" s="151"/>
      <c r="K169" s="170"/>
      <c r="L169" s="170"/>
      <c r="M169" s="161"/>
      <c r="N169" s="171"/>
      <c r="O169" s="163"/>
      <c r="P169" s="163"/>
      <c r="Q169" s="163"/>
      <c r="R169" s="163"/>
      <c r="S169" s="164"/>
      <c r="T169" s="162"/>
      <c r="U169" s="163"/>
      <c r="V169" s="163"/>
      <c r="W169" s="163"/>
      <c r="X169" s="163"/>
      <c r="Y169" s="164"/>
      <c r="Z169" s="171"/>
      <c r="AA169" s="163"/>
      <c r="AB169" s="163"/>
      <c r="AC169" s="163"/>
      <c r="AD169" s="163"/>
      <c r="AE169" s="164"/>
      <c r="AF169" s="169"/>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70"/>
      <c r="G170" s="170"/>
      <c r="H170" s="161"/>
      <c r="I170" s="161"/>
      <c r="J170" s="151"/>
      <c r="K170" s="170"/>
      <c r="L170" s="170"/>
      <c r="M170" s="161"/>
      <c r="N170" s="171"/>
      <c r="O170" s="163"/>
      <c r="P170" s="163"/>
      <c r="Q170" s="163"/>
      <c r="R170" s="163"/>
      <c r="S170" s="164"/>
      <c r="T170" s="162"/>
      <c r="U170" s="163"/>
      <c r="V170" s="163"/>
      <c r="W170" s="163"/>
      <c r="X170" s="163"/>
      <c r="Y170" s="164"/>
      <c r="Z170" s="171"/>
      <c r="AA170" s="163"/>
      <c r="AB170" s="163"/>
      <c r="AC170" s="163"/>
      <c r="AD170" s="163"/>
      <c r="AE170" s="164"/>
      <c r="AF170" s="169"/>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70"/>
      <c r="G171" s="170"/>
      <c r="H171" s="161"/>
      <c r="I171" s="161"/>
      <c r="J171" s="151"/>
      <c r="K171" s="170"/>
      <c r="L171" s="170"/>
      <c r="M171" s="161"/>
      <c r="N171" s="171"/>
      <c r="O171" s="163"/>
      <c r="P171" s="163"/>
      <c r="Q171" s="163"/>
      <c r="R171" s="163"/>
      <c r="S171" s="164"/>
      <c r="T171" s="162"/>
      <c r="U171" s="163"/>
      <c r="V171" s="163"/>
      <c r="W171" s="163"/>
      <c r="X171" s="163"/>
      <c r="Y171" s="164"/>
      <c r="Z171" s="171"/>
      <c r="AA171" s="163"/>
      <c r="AB171" s="163"/>
      <c r="AC171" s="163"/>
      <c r="AD171" s="163"/>
      <c r="AE171" s="164"/>
      <c r="AF171" s="169"/>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70"/>
      <c r="G172" s="170"/>
      <c r="H172" s="161"/>
      <c r="I172" s="161"/>
      <c r="J172" s="151"/>
      <c r="K172" s="170"/>
      <c r="L172" s="170"/>
      <c r="M172" s="161"/>
      <c r="N172" s="171"/>
      <c r="O172" s="163"/>
      <c r="P172" s="163"/>
      <c r="Q172" s="163"/>
      <c r="R172" s="163"/>
      <c r="S172" s="164"/>
      <c r="T172" s="162"/>
      <c r="U172" s="163"/>
      <c r="V172" s="163"/>
      <c r="W172" s="163"/>
      <c r="X172" s="163"/>
      <c r="Y172" s="164"/>
      <c r="Z172" s="171"/>
      <c r="AA172" s="163"/>
      <c r="AB172" s="163"/>
      <c r="AC172" s="163"/>
      <c r="AD172" s="163"/>
      <c r="AE172" s="164"/>
      <c r="AF172" s="169"/>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70"/>
      <c r="G173" s="170"/>
      <c r="H173" s="161"/>
      <c r="I173" s="161"/>
      <c r="J173" s="151"/>
      <c r="K173" s="170"/>
      <c r="L173" s="170"/>
      <c r="M173" s="161"/>
      <c r="N173" s="171"/>
      <c r="O173" s="163"/>
      <c r="P173" s="163"/>
      <c r="Q173" s="163"/>
      <c r="R173" s="163"/>
      <c r="S173" s="164"/>
      <c r="T173" s="162"/>
      <c r="U173" s="163"/>
      <c r="V173" s="163"/>
      <c r="W173" s="163"/>
      <c r="X173" s="163"/>
      <c r="Y173" s="164"/>
      <c r="Z173" s="171"/>
      <c r="AA173" s="163"/>
      <c r="AB173" s="163"/>
      <c r="AC173" s="163"/>
      <c r="AD173" s="163"/>
      <c r="AE173" s="164"/>
      <c r="AF173" s="169"/>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70"/>
      <c r="G174" s="170"/>
      <c r="H174" s="161"/>
      <c r="I174" s="161"/>
      <c r="J174" s="151"/>
      <c r="K174" s="170"/>
      <c r="L174" s="170"/>
      <c r="M174" s="161"/>
      <c r="N174" s="171"/>
      <c r="O174" s="163"/>
      <c r="P174" s="163"/>
      <c r="Q174" s="163"/>
      <c r="R174" s="163"/>
      <c r="S174" s="164"/>
      <c r="T174" s="162"/>
      <c r="U174" s="163"/>
      <c r="V174" s="163"/>
      <c r="W174" s="163"/>
      <c r="X174" s="163"/>
      <c r="Y174" s="164"/>
      <c r="Z174" s="171"/>
      <c r="AA174" s="163"/>
      <c r="AB174" s="163"/>
      <c r="AC174" s="163"/>
      <c r="AD174" s="163"/>
      <c r="AE174" s="164"/>
      <c r="AF174" s="169"/>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70"/>
      <c r="G175" s="170"/>
      <c r="H175" s="161"/>
      <c r="I175" s="161"/>
      <c r="J175" s="151"/>
      <c r="K175" s="170"/>
      <c r="L175" s="170"/>
      <c r="M175" s="161"/>
      <c r="N175" s="171"/>
      <c r="O175" s="163"/>
      <c r="P175" s="163"/>
      <c r="Q175" s="163"/>
      <c r="R175" s="163"/>
      <c r="S175" s="164"/>
      <c r="T175" s="162"/>
      <c r="U175" s="163"/>
      <c r="V175" s="163"/>
      <c r="W175" s="163"/>
      <c r="X175" s="163"/>
      <c r="Y175" s="164"/>
      <c r="Z175" s="171"/>
      <c r="AA175" s="163"/>
      <c r="AB175" s="163"/>
      <c r="AC175" s="163"/>
      <c r="AD175" s="163"/>
      <c r="AE175" s="164"/>
      <c r="AF175" s="169"/>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222</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223</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224</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225</v>
      </c>
      <c r="C5" s="197" t="s">
        <v>226</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227</v>
      </c>
      <c r="D6" s="195" t="s">
        <v>228</v>
      </c>
      <c r="F6" s="206"/>
      <c r="G6" s="207" t="s">
        <v>229</v>
      </c>
      <c r="J6" s="208" t="s">
        <v>229</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230</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231</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232</v>
      </c>
      <c r="C9" s="223" t="s">
        <v>233</v>
      </c>
      <c r="D9" s="224"/>
      <c r="E9" s="224"/>
      <c r="F9" s="224"/>
      <c r="G9" s="225" t="s">
        <v>233</v>
      </c>
      <c r="H9" s="224"/>
      <c r="I9" s="224"/>
      <c r="J9" s="225" t="s">
        <v>233</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234</v>
      </c>
      <c r="C10" s="227" t="s">
        <v>235</v>
      </c>
      <c r="D10" s="220"/>
      <c r="E10" s="220"/>
      <c r="F10" s="220"/>
      <c r="G10" s="228" t="s">
        <v>233</v>
      </c>
      <c r="H10" s="220"/>
      <c r="I10" s="220"/>
      <c r="J10" s="228" t="s">
        <v>233</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236</v>
      </c>
      <c r="C11" s="227" t="s">
        <v>237</v>
      </c>
      <c r="D11" s="220"/>
      <c r="E11" s="220"/>
      <c r="F11" s="220"/>
      <c r="G11" s="228" t="s">
        <v>235</v>
      </c>
      <c r="H11" s="220"/>
      <c r="I11" s="220"/>
      <c r="J11" s="228" t="s">
        <v>235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238</v>
      </c>
      <c r="C12" s="230"/>
      <c r="D12" s="220"/>
      <c r="E12" s="220"/>
      <c r="F12" s="220"/>
      <c r="G12" s="228" t="s">
        <v>233</v>
      </c>
      <c r="H12" s="220"/>
      <c r="I12" s="220"/>
      <c r="J12" s="228" t="s">
        <v>233</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239</v>
      </c>
      <c r="C13" s="230"/>
      <c r="D13" s="220"/>
      <c r="E13" s="220"/>
      <c r="F13" s="220"/>
      <c r="G13" s="228" t="s">
        <v>233</v>
      </c>
      <c r="H13" s="220"/>
      <c r="I13" s="220"/>
      <c r="J13" s="228" t="s">
        <v>233</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240</v>
      </c>
      <c r="C14" s="230"/>
      <c r="D14" s="220"/>
      <c r="E14" s="220"/>
      <c r="F14" s="220"/>
      <c r="G14" s="228" t="s">
        <v>233</v>
      </c>
      <c r="H14" s="220"/>
      <c r="I14" s="220"/>
      <c r="J14" s="228" t="s">
        <v>233</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241</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242</v>
      </c>
      <c r="C16" s="230"/>
      <c r="D16" s="220"/>
      <c r="E16" s="220"/>
      <c r="F16" s="220"/>
      <c r="G16" s="228" t="s">
        <v>233</v>
      </c>
      <c r="H16" s="220"/>
      <c r="I16" s="220"/>
      <c r="J16" s="228" t="s">
        <v>233</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243</v>
      </c>
      <c r="C17" s="230"/>
      <c r="D17" s="220"/>
      <c r="E17" s="220"/>
      <c r="F17" s="220"/>
      <c r="G17" s="228" t="s">
        <v>235</v>
      </c>
      <c r="H17" s="220"/>
      <c r="I17" s="220"/>
      <c r="J17" s="228" t="s">
        <v>235</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244</v>
      </c>
      <c r="C18" s="230"/>
      <c r="D18" s="220"/>
      <c r="E18" s="220"/>
      <c r="F18" s="220"/>
      <c r="G18" s="228" t="s">
        <v>235</v>
      </c>
      <c r="H18" s="220"/>
      <c r="I18" s="220"/>
      <c r="J18" s="228" t="s">
        <v>235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245</v>
      </c>
      <c r="C19" s="234"/>
      <c r="D19" s="235"/>
      <c r="E19" s="235"/>
      <c r="F19" s="235"/>
      <c r="G19" s="236" t="s">
        <v>233</v>
      </c>
      <c r="H19" s="235"/>
      <c r="I19" s="235"/>
      <c r="J19" s="236" t="s">
        <v>233</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246</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247</v>
      </c>
      <c r="C21" s="240"/>
      <c r="D21" s="224"/>
      <c r="E21" s="224"/>
      <c r="F21" s="224"/>
      <c r="G21" s="225" t="s">
        <v>233</v>
      </c>
      <c r="H21" s="224"/>
      <c r="I21" s="224"/>
      <c r="J21" s="225" t="s">
        <v>233</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248</v>
      </c>
      <c r="C22" s="230"/>
      <c r="D22" s="220"/>
      <c r="E22" s="220"/>
      <c r="F22" s="220"/>
      <c r="G22" s="228" t="s">
        <v>233</v>
      </c>
      <c r="H22" s="220"/>
      <c r="I22" s="220"/>
      <c r="J22" s="228" t="s">
        <v>233</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249</v>
      </c>
      <c r="C23" s="230"/>
      <c r="D23" s="220"/>
      <c r="E23" s="220"/>
      <c r="F23" s="220"/>
      <c r="G23" s="228" t="s">
        <v>233</v>
      </c>
      <c r="H23" s="220"/>
      <c r="I23" s="220"/>
      <c r="J23" s="228" t="s">
        <v>233</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250</v>
      </c>
      <c r="C24" s="230"/>
      <c r="D24" s="220"/>
      <c r="E24" s="220"/>
      <c r="F24" s="220"/>
      <c r="G24" s="228" t="s">
        <v>233</v>
      </c>
      <c r="H24" s="220"/>
      <c r="I24" s="220"/>
      <c r="J24" s="228" t="s">
        <v>233</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251</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252</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253</v>
      </c>
      <c r="C27" s="227" t="s">
        <v>254</v>
      </c>
      <c r="D27" s="220"/>
      <c r="E27" s="220"/>
      <c r="F27" s="220"/>
      <c r="G27" s="228" t="s">
        <v>255</v>
      </c>
      <c r="H27" s="220"/>
      <c r="I27" s="220"/>
      <c r="J27" s="228" t="s">
        <v>255</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256</v>
      </c>
      <c r="C28" s="227" t="s">
        <v>255</v>
      </c>
      <c r="D28" s="220"/>
      <c r="E28" s="220"/>
      <c r="F28" s="220"/>
      <c r="G28" s="228" t="s">
        <v>254</v>
      </c>
      <c r="H28" s="220"/>
      <c r="I28" s="220"/>
      <c r="J28" s="228" t="s">
        <v>254</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257</v>
      </c>
      <c r="C29" s="227" t="s">
        <v>258</v>
      </c>
      <c r="D29" s="220"/>
      <c r="E29" s="220"/>
      <c r="F29" s="220"/>
      <c r="G29" s="228" t="s">
        <v>255</v>
      </c>
      <c r="H29" s="220"/>
      <c r="I29" s="220"/>
      <c r="J29" s="228" t="s">
        <v>255</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259</v>
      </c>
      <c r="C30" s="227" t="s">
        <v>260</v>
      </c>
      <c r="D30" s="220"/>
      <c r="E30" s="220"/>
      <c r="F30" s="220"/>
      <c r="G30" s="228" t="s">
        <v>254</v>
      </c>
      <c r="H30" s="220"/>
      <c r="I30" s="220"/>
      <c r="J30" s="228" t="s">
        <v>254</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261</v>
      </c>
      <c r="C31" s="227" t="s">
        <v>262</v>
      </c>
      <c r="D31" s="220"/>
      <c r="E31" s="220"/>
      <c r="F31" s="220"/>
      <c r="G31" s="228" t="s">
        <v>254</v>
      </c>
      <c r="H31" s="220"/>
      <c r="I31" s="220"/>
      <c r="J31" s="228" t="s">
        <v>254</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263</v>
      </c>
      <c r="C32" s="230"/>
      <c r="D32" s="220"/>
      <c r="E32" s="220"/>
      <c r="F32" s="220"/>
      <c r="G32" s="228" t="s">
        <v>255</v>
      </c>
      <c r="H32" s="220"/>
      <c r="I32" s="220"/>
      <c r="J32" s="228" t="s">
        <v>255</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264</v>
      </c>
      <c r="C33" s="234"/>
      <c r="D33" s="235"/>
      <c r="E33" s="235"/>
      <c r="F33" s="235"/>
      <c r="G33" s="236" t="s">
        <v>255</v>
      </c>
      <c r="H33" s="235"/>
      <c r="I33" s="235"/>
      <c r="J33" s="236" t="s">
        <v>255</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265</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266</v>
      </c>
      <c r="C35" s="240"/>
      <c r="D35" s="224"/>
      <c r="E35" s="224"/>
      <c r="F35" s="224"/>
      <c r="G35" s="225" t="s">
        <v>258</v>
      </c>
      <c r="H35" s="224"/>
      <c r="I35" s="224"/>
      <c r="J35" s="225" t="s">
        <v>258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267</v>
      </c>
      <c r="C36" s="230"/>
      <c r="D36" s="220"/>
      <c r="E36" s="220"/>
      <c r="F36" s="220"/>
      <c r="G36" s="228" t="s">
        <v>255</v>
      </c>
      <c r="H36" s="220"/>
      <c r="I36" s="220"/>
      <c r="J36" s="228" t="s">
        <v>255</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268</v>
      </c>
      <c r="C37" s="230"/>
      <c r="D37" s="220"/>
      <c r="E37" s="220"/>
      <c r="F37" s="220"/>
      <c r="G37" s="228" t="s">
        <v>255</v>
      </c>
      <c r="H37" s="220"/>
      <c r="I37" s="220"/>
      <c r="J37" s="228" t="s">
        <v>255</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269</v>
      </c>
      <c r="C38" s="230"/>
      <c r="D38" s="220"/>
      <c r="E38" s="220"/>
      <c r="F38" s="220"/>
      <c r="G38" s="228" t="s">
        <v>254</v>
      </c>
      <c r="H38" s="220"/>
      <c r="I38" s="220"/>
      <c r="J38" s="228" t="s">
        <v>254</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270</v>
      </c>
      <c r="C39" s="230"/>
      <c r="D39" s="220"/>
      <c r="E39" s="220"/>
      <c r="F39" s="220"/>
      <c r="G39" s="228" t="s">
        <v>255</v>
      </c>
      <c r="H39" s="220"/>
      <c r="I39" s="220"/>
      <c r="J39" s="228" t="s">
        <v>255</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271</v>
      </c>
      <c r="C40" s="230"/>
      <c r="D40" s="220"/>
      <c r="E40" s="220"/>
      <c r="F40" s="220"/>
      <c r="G40" s="228" t="s">
        <v>255</v>
      </c>
      <c r="H40" s="220"/>
      <c r="I40" s="220"/>
      <c r="J40" s="228" t="s">
        <v>255</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272</v>
      </c>
      <c r="C41" s="230"/>
      <c r="D41" s="220"/>
      <c r="E41" s="220"/>
      <c r="F41" s="220"/>
      <c r="G41" s="228" t="s">
        <v>254</v>
      </c>
      <c r="H41" s="220"/>
      <c r="I41" s="220"/>
      <c r="J41" s="228" t="s">
        <v>254</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273</v>
      </c>
      <c r="C42" s="230"/>
      <c r="D42" s="220"/>
      <c r="E42" s="220"/>
      <c r="F42" s="220"/>
      <c r="G42" s="228" t="s">
        <v>254</v>
      </c>
      <c r="H42" s="220"/>
      <c r="I42" s="220"/>
      <c r="J42" s="228" t="s">
        <v>254</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274</v>
      </c>
      <c r="C43" s="230"/>
      <c r="D43" s="220"/>
      <c r="E43" s="220"/>
      <c r="F43" s="220"/>
      <c r="G43" s="228" t="s">
        <v>258</v>
      </c>
      <c r="H43" s="220"/>
      <c r="I43" s="220"/>
      <c r="J43" s="228" t="s">
        <v>258</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275</v>
      </c>
      <c r="C44" s="234"/>
      <c r="D44" s="235"/>
      <c r="E44" s="235"/>
      <c r="F44" s="235"/>
      <c r="G44" s="236" t="s">
        <v>255</v>
      </c>
      <c r="H44" s="235"/>
      <c r="I44" s="235"/>
      <c r="J44" s="236" t="s">
        <v>255</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276</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277</v>
      </c>
      <c r="C46" s="240"/>
      <c r="D46" s="224"/>
      <c r="E46" s="224"/>
      <c r="F46" s="224"/>
      <c r="G46" s="225" t="s">
        <v>255</v>
      </c>
      <c r="H46" s="224"/>
      <c r="I46" s="224"/>
      <c r="J46" s="225" t="s">
        <v>255</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278</v>
      </c>
      <c r="C47" s="230"/>
      <c r="D47" s="220"/>
      <c r="E47" s="220"/>
      <c r="F47" s="220"/>
      <c r="G47" s="228" t="s">
        <v>255</v>
      </c>
      <c r="H47" s="220"/>
      <c r="I47" s="220"/>
      <c r="J47" s="228" t="s">
        <v>255</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279</v>
      </c>
      <c r="C48" s="230"/>
      <c r="D48" s="220"/>
      <c r="E48" s="220"/>
      <c r="F48" s="220"/>
      <c r="G48" s="228" t="s">
        <v>255</v>
      </c>
      <c r="H48" s="220"/>
      <c r="I48" s="220"/>
      <c r="J48" s="228" t="s">
        <v>255</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280</v>
      </c>
      <c r="C49" s="234"/>
      <c r="D49" s="235"/>
      <c r="E49" s="235"/>
      <c r="F49" s="235"/>
      <c r="G49" s="236" t="s">
        <v>254</v>
      </c>
      <c r="H49" s="235"/>
      <c r="I49" s="235"/>
      <c r="J49" s="236" t="s">
        <v>254</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281</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282</v>
      </c>
      <c r="C51" s="240"/>
      <c r="D51" s="224"/>
      <c r="E51" s="224"/>
      <c r="F51" s="224"/>
      <c r="G51" s="225" t="s">
        <v>254</v>
      </c>
      <c r="H51" s="224"/>
      <c r="I51" s="224"/>
      <c r="J51" s="225" t="s">
        <v>254</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283</v>
      </c>
      <c r="C52" s="230"/>
      <c r="D52" s="220"/>
      <c r="E52" s="220"/>
      <c r="F52" s="220"/>
      <c r="G52" s="228" t="s">
        <v>255</v>
      </c>
      <c r="H52" s="220"/>
      <c r="I52" s="220"/>
      <c r="J52" s="228" t="s">
        <v>255</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284</v>
      </c>
      <c r="C53" s="252"/>
      <c r="D53" s="253"/>
      <c r="E53" s="253"/>
      <c r="F53" s="253"/>
      <c r="G53" s="254" t="s">
        <v>255</v>
      </c>
      <c r="H53" s="253"/>
      <c r="I53" s="253"/>
      <c r="J53" s="254" t="s">
        <v>255</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285</v>
      </c>
      <c r="C54" s="258" t="s">
        <v>286</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287</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288</v>
      </c>
      <c r="N2" s="277" t="s">
        <v>289</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290</v>
      </c>
      <c r="C5" s="283" t="s">
        <v>291</v>
      </c>
      <c r="D5" s="283" t="s">
        <v>292</v>
      </c>
      <c r="E5" s="283" t="s">
        <v>293</v>
      </c>
      <c r="F5" s="283" t="s">
        <v>294</v>
      </c>
      <c r="G5" s="283" t="s">
        <v>295</v>
      </c>
      <c r="H5" s="283" t="s">
        <v>296</v>
      </c>
      <c r="I5" s="283" t="s">
        <v>297</v>
      </c>
      <c r="J5" s="283" t="s">
        <v>298</v>
      </c>
      <c r="K5" s="283" t="s">
        <v>299</v>
      </c>
      <c r="L5" s="283" t="s">
        <v>300</v>
      </c>
      <c r="M5" s="284" t="s">
        <v>301</v>
      </c>
      <c r="N5" s="284"/>
    </row>
    <row r="6" ht="22.5" customHeight="1">
      <c r="B6" s="285">
        <f>DATE(YEAR(TODAY()), P2, 1)</f>
        <v>46082</v>
      </c>
      <c r="C6" s="286">
        <f t="shared" ref="C6:C36" si="1">if(B6="","",448)</f>
        <v>448</v>
      </c>
      <c r="D6" s="287">
        <f t="shared" ref="D6:D36" si="2">if(B6="","", sum( F6:J6))</f>
        <v>429</v>
      </c>
      <c r="E6" s="288">
        <f t="shared" ref="E6:E36" si="3">if(B6="","", sum(G6:J6))</f>
        <v>400</v>
      </c>
      <c r="F6" s="289">
        <f t="array" ref="F6:F36">IFERROR(INDIRECT($P$3&amp;"!H13:H43"),"")</f>
        <v>29</v>
      </c>
      <c r="G6" s="289">
        <f t="array" ref="G6:G36">IFERROR(INDIRECT($P$3&amp;"!I13:I43"),"")</f>
        <v>331</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401</v>
      </c>
      <c r="F17" s="293">
        <v>37.0</v>
      </c>
      <c r="G17" s="289">
        <v>328.0</v>
      </c>
      <c r="H17" s="289">
        <v>71.0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302</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348</v>
      </c>
      <c r="F29" s="293">
        <v>31.0</v>
      </c>
      <c r="G29" s="289">
        <v>291.0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0</v>
      </c>
      <c r="E36" s="288">
        <f t="shared" si="3"/>
        <v>0</v>
      </c>
      <c r="F36" s="299"/>
      <c r="G36" s="289"/>
      <c r="H36" s="289"/>
      <c r="I36" s="299"/>
      <c r="J36" s="299"/>
      <c r="K36" s="299"/>
      <c r="L36" s="299"/>
      <c r="M36" s="300"/>
      <c r="N36" s="301"/>
      <c r="O36" s="275"/>
      <c r="P36" s="275"/>
    </row>
    <row r="37" ht="36.75" customHeight="1">
      <c r="B37" s="302" t="s">
        <v>303</v>
      </c>
      <c r="C37" s="303">
        <f t="shared" ref="C37:M37" si="5">SUM(C6:C36)</f>
        <v>13888</v>
      </c>
      <c r="D37" s="303">
        <f t="shared" si="5"/>
        <v>12380</v>
      </c>
      <c r="E37" s="303">
        <f t="shared" si="5"/>
        <v>11607</v>
      </c>
      <c r="F37" s="303">
        <f t="shared" si="5"/>
        <v>773</v>
      </c>
      <c r="G37" s="303">
        <f t="shared" si="5"/>
        <v>9577</v>
      </c>
      <c r="H37" s="303">
        <f t="shared" si="5"/>
        <v>1985</v>
      </c>
      <c r="I37" s="303">
        <f t="shared" si="5"/>
        <v>22</v>
      </c>
      <c r="J37" s="303">
        <f t="shared" si="5"/>
        <v>23</v>
      </c>
      <c r="K37" s="303">
        <f t="shared" si="5"/>
        <v>2266</v>
      </c>
      <c r="L37" s="303">
        <f t="shared" si="5"/>
        <v>2191</v>
      </c>
      <c r="M37" s="303">
        <f t="shared" si="5"/>
        <v>751</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304</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0</v>
      </c>
      <c r="D1" s="313">
        <f>AZ20</f>
        <v>0</v>
      </c>
      <c r="E1" s="313" t="str">
        <f>BG23</f>
        <v>#N/A</v>
      </c>
      <c r="F1" s="313">
        <f>BB23+BG40</f>
        <v>0</v>
      </c>
      <c r="G1" s="313">
        <f t="shared" ref="G1:H1" si="1">I8</f>
        <v>0</v>
      </c>
      <c r="H1" s="313">
        <f t="shared" si="1"/>
        <v>0</v>
      </c>
      <c r="I1" s="314" t="str">
        <f>G8</f>
        <v>#DIV/0!</v>
      </c>
      <c r="J1" s="314" t="str">
        <f>AT7</f>
        <v>#DIV/0!</v>
      </c>
      <c r="K1" s="315">
        <f>AV44</f>
        <v>8</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46082.0</v>
      </c>
      <c r="E5" s="73"/>
      <c r="F5" s="330" t="s">
        <v>309</v>
      </c>
      <c r="G5" s="331">
        <f>DAY(EOMONTH(D5,0))</f>
        <v>31</v>
      </c>
      <c r="H5" s="332" t="s">
        <v>310</v>
      </c>
      <c r="I5" s="330" t="s">
        <v>311</v>
      </c>
      <c r="J5" s="333" t="b">
        <v>0</v>
      </c>
      <c r="K5" s="330" t="s">
        <v>312</v>
      </c>
      <c r="L5" s="334" t="b">
        <v>0</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326</v>
      </c>
      <c r="H7" s="356">
        <f t="array" ref="H7">xlookup($D$5,'🌟目標数値'!$A$3:$A$14,'🌟目標数値'!D$3:D14)</f>
        <v>13092350</v>
      </c>
      <c r="I7" s="356" t="s">
        <v>326</v>
      </c>
      <c r="J7" s="357" t="s">
        <v>326</v>
      </c>
      <c r="K7" s="358" t="s">
        <v>326</v>
      </c>
      <c r="L7" s="358" t="s">
        <v>326</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AV44/F44</f>
        <v>#DIV/0!</v>
      </c>
      <c r="AU7" s="73"/>
      <c r="AV7" s="361" t="str">
        <f>IFERROR(__xludf.DUMMYFUNCTION("IMPORTRANGE(AT9,""日別集計!AI4"")"),"#N/A")</f>
        <v>#N/A</v>
      </c>
      <c r="AW7" s="73"/>
      <c r="AX7" s="347"/>
      <c r="AY7" s="362"/>
      <c r="BG7" s="363"/>
      <c r="BL7" s="351"/>
    </row>
    <row r="8" ht="15.75" customHeight="1" outlineLevel="1">
      <c r="B8" s="364" t="s">
        <v>327</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IFERROR(__xludf.DUMMYFUNCTION("IMPORTRANGE(""https://docs.google.com/spreadsheets/d/1QbHfX9wvC_RRupa4CCe_ZxA6O4e2Ap9vqX5hrZPeQRg/edit"",""date2_1!R7"")/G5*COUNTIFS($E$13:$E$43,""&gt;0"")"),0.0)</f>
        <v>0</v>
      </c>
      <c r="J8" s="370">
        <f>IFERROR(__xludf.DUMMYFUNCTION("IMPORTRANGE(""https://docs.google.com/spreadsheets/d/1PIAlDmsTatDNi42y_Nu-aVFqvVCXfe6jiDJFQImKjZ0/edit#gid=630612029"",""R8_4!J5"")"),0.0)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0</v>
      </c>
      <c r="I9" s="382" t="s">
        <v>326</v>
      </c>
      <c r="J9" s="383" t="s">
        <v>326</v>
      </c>
      <c r="K9" s="384" t="s">
        <v>326</v>
      </c>
      <c r="L9" s="384" t="s">
        <v>326</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46082</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369</v>
      </c>
      <c r="BI12" s="210"/>
      <c r="BJ12" s="210"/>
      <c r="BL12" s="210"/>
      <c r="BM12" s="210"/>
    </row>
    <row r="13" ht="15.75" customHeight="1">
      <c r="A13" s="323"/>
      <c r="B13" s="410" t="b">
        <v>0</v>
      </c>
      <c r="C13" s="411">
        <f>D5</f>
        <v>46082</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3"/>
      <c r="O13" s="413"/>
      <c r="P13" s="414"/>
      <c r="Q13" s="414"/>
      <c r="R13" s="414"/>
      <c r="S13" s="414"/>
      <c r="T13" s="414"/>
      <c r="U13" s="414"/>
      <c r="V13" s="414"/>
      <c r="W13" s="414"/>
      <c r="X13" s="414"/>
      <c r="Y13" s="414"/>
      <c r="Z13" s="414"/>
      <c r="AA13" s="414"/>
      <c r="AB13" s="414"/>
      <c r="AC13" s="413"/>
      <c r="AD13" s="413"/>
      <c r="AE13" s="413"/>
      <c r="AF13" s="413"/>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t="str">
        <f>IFERROR(__xludf.DUMMYFUNCTION("FLATTEN('⚙️抽出用'!B5:AF5)"),"ファイルなし")</f>
        <v>ファイルなし</v>
      </c>
      <c r="AU13" s="418" t="str">
        <f t="shared" ref="AU13:AU43" si="8">if(E13="","",iferror((AT13+AR13+$BF$23/if(month($D$5)=month(today()),day(today()),$G$5))/(AS13+(sum($BA$31:$BA$33)/$G$5)),""))</f>
        <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t="str">
        <f t="shared" si="3"/>
        <v/>
      </c>
      <c r="F14" s="412" t="str">
        <f t="shared" si="4"/>
        <v/>
      </c>
      <c r="G14" s="412" t="str">
        <f t="shared" si="5"/>
        <v/>
      </c>
      <c r="H14" s="426"/>
      <c r="I14" s="426"/>
      <c r="J14" s="426"/>
      <c r="K14" s="426"/>
      <c r="L14" s="426"/>
      <c r="M14" s="426"/>
      <c r="N14" s="426"/>
      <c r="O14" s="426"/>
      <c r="P14" s="427"/>
      <c r="Q14" s="427"/>
      <c r="R14" s="427"/>
      <c r="S14" s="427"/>
      <c r="T14" s="427"/>
      <c r="U14" s="427"/>
      <c r="V14" s="427"/>
      <c r="W14" s="427"/>
      <c r="X14" s="427"/>
      <c r="Y14" s="427"/>
      <c r="Z14" s="427"/>
      <c r="AA14" s="427"/>
      <c r="AB14" s="427"/>
      <c r="AC14" s="426"/>
      <c r="AD14" s="426"/>
      <c r="AE14" s="426"/>
      <c r="AF14" s="426"/>
      <c r="AG14" s="428"/>
      <c r="AH14" s="428"/>
      <c r="AI14" s="428"/>
      <c r="AJ14" s="428"/>
      <c r="AK14" s="428"/>
      <c r="AL14" s="428"/>
      <c r="AM14" s="428"/>
      <c r="AN14" s="428"/>
      <c r="AO14" s="428"/>
      <c r="AP14" s="428"/>
      <c r="AQ14" s="428"/>
      <c r="AR14" s="416">
        <f t="shared" si="6"/>
        <v>0</v>
      </c>
      <c r="AS14" s="417">
        <f t="shared" si="7"/>
        <v>0</v>
      </c>
      <c r="AT14" s="417"/>
      <c r="AU14" s="418" t="str">
        <f t="shared" si="8"/>
        <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c r="AU17" s="418" t="str">
        <f t="shared" si="8"/>
        <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c r="AU19" s="418" t="str">
        <f t="shared" si="8"/>
        <v/>
      </c>
      <c r="AV19" s="412">
        <f>countifs('🔵クレーム'!$C:$C,MONTH($D$5)&amp;"月",'🔵クレーム'!$D:$D,day(C19)&amp;"日",'🔵クレーム'!$I:$I,"&lt;&gt;")</f>
        <v>0</v>
      </c>
      <c r="AW19" s="419"/>
      <c r="AX19" s="323"/>
      <c r="AY19" s="434" t="s">
        <v>375</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c r="AU20" s="418" t="str">
        <f t="shared" si="8"/>
        <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IFERROR(__xludf.DUMMYFUNCTION("IMPORTRANGE(""https://docs.google.com/spreadsheets/d/1QbHfX9wvC_RRupa4CCe_ZxA6O4e2Ap9vqX5hrZPeQRg/edit?gid=284905409#gid=284905409"",""date2_1!D7"")/G5*COUNTIFS($E$13:$E$43,""&gt;0"")+sum(AZ14:BA19)"),0.0)</f>
        <v>0</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c r="AU22" s="418" t="str">
        <f t="shared" si="8"/>
        <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c r="AU23" s="418" t="str">
        <f t="shared" si="8"/>
        <v/>
      </c>
      <c r="AV23" s="412">
        <f>countifs('🔵クレーム'!$C:$C,MONTH($D$5)&amp;"月",'🔵クレーム'!$D:$D,day(C23)&amp;"日",'🔵クレーム'!$I:$I,"&lt;&gt;")</f>
        <v>2</v>
      </c>
      <c r="AW23" s="419"/>
      <c r="AX23" s="323"/>
      <c r="AY23" s="448" t="s">
        <v>380</v>
      </c>
      <c r="AZ23" s="449">
        <f>AR44</f>
        <v>0</v>
      </c>
      <c r="BA23" s="73"/>
      <c r="BB23" s="450">
        <f>AZ23-AZ24</f>
        <v>0</v>
      </c>
      <c r="BC23" s="323"/>
      <c r="BD23" s="451" t="s">
        <v>381</v>
      </c>
      <c r="BE23" s="452" t="str">
        <f>IFERROR(__xludf.DUMMYFUNCTION("IMPORTRANGE(AT9,""total!ai2"")"),"#N/A")</f>
        <v>#N/A</v>
      </c>
      <c r="BF23" s="452" t="str">
        <f>IFERROR(__xludf.DUMMYFUNCTION("IMPORTRANGE(AT9,""total!CP2"")"),"#N/A")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c r="AU24" s="418" t="str">
        <f t="shared" si="8"/>
        <v/>
      </c>
      <c r="AV24" s="412">
        <f>countifs('🔵クレーム'!$C:$C,MONTH($D$5)&amp;"月",'🔵クレーム'!$D:$D,day(C24)&amp;"日",'🔵クレーム'!$I:$I,"&lt;&gt;")</f>
        <v>0</v>
      </c>
      <c r="AW24" s="419"/>
      <c r="AX24" s="323"/>
      <c r="AY24" s="448" t="s">
        <v>382</v>
      </c>
      <c r="AZ24" s="449">
        <f>BE36</f>
        <v>0</v>
      </c>
      <c r="BA24" s="73"/>
      <c r="BB24" s="453"/>
      <c r="BC24" s="323"/>
      <c r="BD24" s="448" t="s">
        <v>383</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c r="AU25" s="418" t="str">
        <f t="shared" si="8"/>
        <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IFERROR(__xludf.DUMMYFUNCTION("IMPORTRANGE(AT9,""total!q2"")"),"#N/A")</f>
        <v>#N/A</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c r="AU28" s="418" t="str">
        <f t="shared" si="8"/>
        <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c r="AU29" s="418" t="str">
        <f t="shared" si="8"/>
        <v/>
      </c>
      <c r="AV29" s="412">
        <f>countifs('🔵クレーム'!$C:$C,MONTH($D$5)&amp;"月",'🔵クレーム'!$D:$D,day(C29)&amp;"日",'🔵クレーム'!$I:$I,"&lt;&gt;")</f>
        <v>0</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c r="AU30" s="418" t="str">
        <f t="shared" si="8"/>
        <v/>
      </c>
      <c r="AV30" s="412">
        <f>countifs('🔵クレーム'!$C:$C,MONTH($D$5)&amp;"月",'🔵クレーム'!$D:$D,day(C30)&amp;"日",'🔵クレーム'!$I:$I,"&lt;&gt;")</f>
        <v>0</v>
      </c>
      <c r="AW30" s="419"/>
      <c r="AX30" s="323"/>
      <c r="AY30" s="464" t="s">
        <v>389</v>
      </c>
      <c r="AZ30" s="452">
        <f>AS46</f>
        <v>0</v>
      </c>
      <c r="BA30" s="465" t="s">
        <v>326</v>
      </c>
      <c r="BB30" s="450">
        <f>SUM(AZ30:AZ36)</f>
        <v>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c r="AU31" s="418" t="str">
        <f t="shared" si="8"/>
        <v/>
      </c>
      <c r="AV31" s="412">
        <f>countifs('🔵クレーム'!$C:$C,MONTH($D$5)&amp;"月",'🔵クレーム'!$D:$D,day(C31)&amp;"日",'🔵クレーム'!$I:$I,"&lt;&gt;")</f>
        <v>0</v>
      </c>
      <c r="AW31" s="419"/>
      <c r="AX31" s="323"/>
      <c r="AY31" s="451" t="s">
        <v>393</v>
      </c>
      <c r="AZ31" s="452">
        <f t="shared" ref="AZ31:AZ33" si="10">BA31/$G$5*COUNTIFS($E$13:$E$43,"&gt;0")</f>
        <v>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c r="AU32" s="418" t="str">
        <f t="shared" si="8"/>
        <v/>
      </c>
      <c r="AV32" s="412">
        <f>countifs('🔵クレーム'!$C:$C,MONTH($D$5)&amp;"月",'🔵クレーム'!$D:$D,day(C32)&amp;"日",'🔵クレーム'!$I:$I,"&lt;&gt;")</f>
        <v>0</v>
      </c>
      <c r="AW32" s="419"/>
      <c r="AX32" s="323"/>
      <c r="AY32" s="451" t="s">
        <v>395</v>
      </c>
      <c r="AZ32" s="452">
        <f t="shared" si="10"/>
        <v>0</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c r="AU33" s="418" t="str">
        <f t="shared" si="8"/>
        <v/>
      </c>
      <c r="AV33" s="412">
        <f>countifs('🔵クレーム'!$C:$C,MONTH($D$5)&amp;"月",'🔵クレーム'!$D:$D,day(C33)&amp;"日",'🔵クレーム'!$I:$I,"&lt;&gt;")</f>
        <v>1</v>
      </c>
      <c r="AW33" s="419"/>
      <c r="AX33" s="323"/>
      <c r="AY33" s="451" t="s">
        <v>397</v>
      </c>
      <c r="AZ33" s="452">
        <f t="shared" si="10"/>
        <v>0</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c r="AU34" s="418" t="str">
        <f t="shared" si="8"/>
        <v/>
      </c>
      <c r="AV34" s="412">
        <f>countifs('🔵クレーム'!$C:$C,MONTH($D$5)&amp;"月",'🔵クレーム'!$D:$D,day(C34)&amp;"日",'🔵クレーム'!$I:$I,"&lt;&gt;")</f>
        <v>0</v>
      </c>
      <c r="AW34" s="419"/>
      <c r="AX34" s="323"/>
      <c r="AY34" s="475"/>
      <c r="AZ34" s="476"/>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c r="AU35" s="418" t="str">
        <f t="shared" si="8"/>
        <v/>
      </c>
      <c r="AV35" s="412">
        <f>countifs('🔵クレーム'!$C:$C,MONTH($D$5)&amp;"月",'🔵クレーム'!$D:$D,day(C35)&amp;"日",'🔵クレーム'!$I:$I,"&lt;&gt;")</f>
        <v>0</v>
      </c>
      <c r="AW35" s="419"/>
      <c r="AX35" s="323"/>
      <c r="AY35" s="451"/>
      <c r="AZ35" s="430"/>
      <c r="BA35" s="430"/>
      <c r="BB35" s="453"/>
      <c r="BC35" s="323"/>
      <c r="BD35" s="478" t="s">
        <v>400</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c r="AU36" s="418" t="str">
        <f t="shared" si="8"/>
        <v/>
      </c>
      <c r="AV36" s="412">
        <f>countifs('🔵クレーム'!$C:$C,MONTH($D$5)&amp;"月",'🔵クレーム'!$D:$D,day(C36)&amp;"日",'🔵クレーム'!$I:$I,"&lt;&gt;")</f>
        <v>0</v>
      </c>
      <c r="AW36" s="419"/>
      <c r="AX36" s="323"/>
      <c r="AY36" s="475" t="s">
        <v>401</v>
      </c>
      <c r="AZ36" s="476">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c r="AU38" s="418" t="str">
        <f t="shared" si="8"/>
        <v/>
      </c>
      <c r="AV38" s="412">
        <f>countifs('🔵クレーム'!$C:$C,MONTH($D$5)&amp;"月",'🔵クレーム'!$D:$D,day(C38)&amp;"日",'🔵クレーム'!$I:$I,"&lt;&gt;")</f>
        <v>1</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c r="AU39" s="418" t="str">
        <f t="shared" si="8"/>
        <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c r="AU41" s="418" t="str">
        <f t="shared" si="8"/>
        <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0</v>
      </c>
      <c r="AU44" s="497" t="str">
        <f>AVERAGE(AU13:AU43)</f>
        <v>#DIV/0!</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411</v>
      </c>
      <c r="O2" s="541"/>
      <c r="P2" s="542"/>
      <c r="Q2" s="543"/>
      <c r="R2" s="543"/>
      <c r="S2" s="544"/>
      <c r="T2" s="543"/>
      <c r="U2" s="543"/>
      <c r="V2" s="543"/>
      <c r="W2" s="543"/>
      <c r="X2" s="543"/>
      <c r="Y2" s="545"/>
      <c r="Z2" s="270"/>
      <c r="AA2" s="270"/>
      <c r="AB2" s="270"/>
      <c r="AC2" s="270"/>
      <c r="AD2" s="270"/>
      <c r="AE2" s="270"/>
      <c r="AF2" s="546"/>
      <c r="AG2" s="547"/>
      <c r="AH2" s="548"/>
      <c r="AI2" s="549" t="s">
        <v>412</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46112</v>
      </c>
      <c r="C7" s="620"/>
      <c r="D7" s="536"/>
      <c r="E7" s="621">
        <f>today()+1</f>
        <v>46113</v>
      </c>
      <c r="F7" s="622"/>
      <c r="G7" s="536"/>
      <c r="H7" s="536"/>
      <c r="I7" s="623" t="s">
        <v>450</v>
      </c>
      <c r="J7" s="624" t="s">
        <v>451</v>
      </c>
      <c r="K7" s="625">
        <v>46113.0</v>
      </c>
      <c r="L7" s="626" t="s">
        <v>452</v>
      </c>
      <c r="M7" s="627" t="s">
        <v>453</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火</v>
      </c>
      <c r="D8" s="115"/>
      <c r="E8" s="637" t="s">
        <v>331</v>
      </c>
      <c r="F8" s="638" t="str">
        <f>TEXT(E7,"ddd")</f>
        <v>水</v>
      </c>
      <c r="G8" s="188"/>
      <c r="H8" s="188"/>
      <c r="I8" s="623"/>
      <c r="J8" s="639" t="s">
        <v>461</v>
      </c>
      <c r="K8" s="626" t="s">
        <v>462</v>
      </c>
      <c r="L8" s="640" t="s">
        <v>463</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t="str">
        <f t="shared" ref="C9:C16" si="5">if(B9="","", xlookup($B$7,$N$7:$AR$7,$N9:$AR9))</f>
        <v>#N/A</v>
      </c>
      <c r="D9" s="188"/>
      <c r="E9" s="644" t="str">
        <f t="shared" ref="E9:E16" si="6">K9</f>
        <v>出勤者数合計</v>
      </c>
      <c r="F9" s="645">
        <f t="shared" ref="F9:F16" si="7">if(E9="","", xlookup($E$7,$N$7:$AR$7,$N9:$AR9))</f>
        <v>18</v>
      </c>
      <c r="G9" s="188"/>
      <c r="H9" s="188"/>
      <c r="I9" s="168" t="b">
        <v>0</v>
      </c>
      <c r="J9" s="639"/>
      <c r="K9" s="646" t="s">
        <v>464</v>
      </c>
      <c r="L9" s="647" t="s">
        <v>465</v>
      </c>
      <c r="M9" s="648" t="s">
        <v>466</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465</v>
      </c>
      <c r="AT9" s="650" t="s">
        <v>465</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f t="shared" si="7"/>
        <v>5</v>
      </c>
      <c r="G10" s="188"/>
      <c r="H10" s="188"/>
      <c r="I10" s="168" t="b">
        <v>0</v>
      </c>
      <c r="J10" s="639"/>
      <c r="K10" s="646" t="s">
        <v>467</v>
      </c>
      <c r="L10" s="647" t="s">
        <v>465</v>
      </c>
      <c r="M10" s="648" t="s">
        <v>468</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465</v>
      </c>
      <c r="AT10" s="650" t="s">
        <v>465</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
      </c>
      <c r="G11" s="188"/>
      <c r="H11" s="188"/>
      <c r="I11" s="168" t="b">
        <v>0</v>
      </c>
      <c r="J11" s="624">
        <v>9.0</v>
      </c>
      <c r="K11" s="646" t="s">
        <v>147</v>
      </c>
      <c r="L11" s="647" t="s">
        <v>469</v>
      </c>
      <c r="M11" s="653"/>
      <c r="N11" s="654"/>
      <c r="O11" s="654"/>
      <c r="P11" s="654"/>
      <c r="Q11" s="654" t="s">
        <v>422</v>
      </c>
      <c r="R11" s="654" t="s">
        <v>422</v>
      </c>
      <c r="S11" s="654" t="s">
        <v>422</v>
      </c>
      <c r="T11" s="654" t="s">
        <v>422</v>
      </c>
      <c r="U11" s="654" t="s">
        <v>422</v>
      </c>
      <c r="V11" s="654" t="s">
        <v>470</v>
      </c>
      <c r="W11" s="654"/>
      <c r="X11" s="654"/>
      <c r="Y11" s="654" t="s">
        <v>422</v>
      </c>
      <c r="Z11" s="654" t="s">
        <v>422</v>
      </c>
      <c r="AA11" s="654" t="s">
        <v>422</v>
      </c>
      <c r="AB11" s="654" t="s">
        <v>422</v>
      </c>
      <c r="AC11" s="654" t="s">
        <v>422</v>
      </c>
      <c r="AD11" s="654"/>
      <c r="AE11" s="654"/>
      <c r="AF11" s="654" t="s">
        <v>422</v>
      </c>
      <c r="AG11" s="654" t="s">
        <v>422</v>
      </c>
      <c r="AH11" s="654" t="s">
        <v>422</v>
      </c>
      <c r="AI11" s="654" t="s">
        <v>422</v>
      </c>
      <c r="AJ11" s="654" t="s">
        <v>422</v>
      </c>
      <c r="AK11" s="654"/>
      <c r="AL11" s="654"/>
      <c r="AM11" s="654" t="s">
        <v>422</v>
      </c>
      <c r="AN11" s="654" t="s">
        <v>422</v>
      </c>
      <c r="AO11" s="654" t="s">
        <v>471</v>
      </c>
      <c r="AP11" s="655" t="s">
        <v>422</v>
      </c>
      <c r="AQ11" s="654" t="s">
        <v>422</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v>
      </c>
      <c r="G12" s="188"/>
      <c r="H12" s="188"/>
      <c r="I12" s="168" t="b">
        <v>0</v>
      </c>
      <c r="J12" s="624">
        <v>9.0</v>
      </c>
      <c r="K12" s="646" t="s">
        <v>100</v>
      </c>
      <c r="L12" s="647" t="s">
        <v>469</v>
      </c>
      <c r="M12" s="653"/>
      <c r="N12" s="654" t="s">
        <v>422</v>
      </c>
      <c r="O12" s="654"/>
      <c r="P12" s="654"/>
      <c r="Q12" s="654"/>
      <c r="R12" s="654" t="s">
        <v>422</v>
      </c>
      <c r="S12" s="654" t="s">
        <v>422</v>
      </c>
      <c r="T12" s="654" t="s">
        <v>422</v>
      </c>
      <c r="U12" s="654" t="s">
        <v>422</v>
      </c>
      <c r="V12" s="654"/>
      <c r="W12" s="654"/>
      <c r="X12" s="654" t="s">
        <v>422</v>
      </c>
      <c r="Y12" s="654" t="s">
        <v>422</v>
      </c>
      <c r="Z12" s="654" t="s">
        <v>422</v>
      </c>
      <c r="AA12" s="654" t="s">
        <v>422</v>
      </c>
      <c r="AB12" s="654" t="s">
        <v>422</v>
      </c>
      <c r="AC12" s="654"/>
      <c r="AD12" s="654"/>
      <c r="AE12" s="654" t="s">
        <v>422</v>
      </c>
      <c r="AF12" s="654" t="s">
        <v>422</v>
      </c>
      <c r="AG12" s="654" t="s">
        <v>422</v>
      </c>
      <c r="AH12" s="654" t="s">
        <v>422</v>
      </c>
      <c r="AI12" s="654"/>
      <c r="AJ12" s="654" t="s">
        <v>471</v>
      </c>
      <c r="AK12" s="654" t="s">
        <v>472</v>
      </c>
      <c r="AL12" s="654" t="s">
        <v>422</v>
      </c>
      <c r="AM12" s="654" t="s">
        <v>422</v>
      </c>
      <c r="AN12" s="654" t="s">
        <v>422</v>
      </c>
      <c r="AO12" s="654" t="s">
        <v>422</v>
      </c>
      <c r="AP12" s="655"/>
      <c r="AQ12" s="654" t="s">
        <v>422</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v>
      </c>
      <c r="G13" s="188"/>
      <c r="H13" s="188"/>
      <c r="I13" s="168" t="b">
        <v>0</v>
      </c>
      <c r="J13" s="624">
        <v>9.0</v>
      </c>
      <c r="K13" s="646" t="s">
        <v>111</v>
      </c>
      <c r="L13" s="647" t="s">
        <v>473</v>
      </c>
      <c r="M13" s="653"/>
      <c r="N13" s="654" t="s">
        <v>424</v>
      </c>
      <c r="O13" s="654" t="s">
        <v>424</v>
      </c>
      <c r="P13" s="654" t="s">
        <v>424</v>
      </c>
      <c r="Q13" s="654" t="s">
        <v>424</v>
      </c>
      <c r="R13" s="654"/>
      <c r="S13" s="654" t="s">
        <v>424</v>
      </c>
      <c r="T13" s="654" t="s">
        <v>445</v>
      </c>
      <c r="U13" s="654"/>
      <c r="V13" s="654" t="s">
        <v>424</v>
      </c>
      <c r="W13" s="654" t="s">
        <v>424</v>
      </c>
      <c r="X13" s="654" t="s">
        <v>424</v>
      </c>
      <c r="Y13" s="654"/>
      <c r="Z13" s="654" t="s">
        <v>424</v>
      </c>
      <c r="AA13" s="654" t="s">
        <v>424</v>
      </c>
      <c r="AB13" s="654" t="s">
        <v>424</v>
      </c>
      <c r="AC13" s="654" t="s">
        <v>424</v>
      </c>
      <c r="AD13" s="654" t="s">
        <v>424</v>
      </c>
      <c r="AE13" s="654"/>
      <c r="AF13" s="654"/>
      <c r="AG13" s="654" t="s">
        <v>424</v>
      </c>
      <c r="AH13" s="654"/>
      <c r="AI13" s="654" t="s">
        <v>471</v>
      </c>
      <c r="AJ13" s="654" t="s">
        <v>424</v>
      </c>
      <c r="AK13" s="654" t="s">
        <v>424</v>
      </c>
      <c r="AL13" s="654" t="s">
        <v>424</v>
      </c>
      <c r="AM13" s="654"/>
      <c r="AN13" s="654" t="s">
        <v>424</v>
      </c>
      <c r="AO13" s="654" t="s">
        <v>424</v>
      </c>
      <c r="AP13" s="655"/>
      <c r="AQ13" s="654" t="s">
        <v>424</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v>
      </c>
      <c r="G14" s="188"/>
      <c r="H14" s="188"/>
      <c r="I14" s="168" t="b">
        <v>0</v>
      </c>
      <c r="J14" s="624">
        <v>9.0</v>
      </c>
      <c r="K14" s="646" t="s">
        <v>141</v>
      </c>
      <c r="L14" s="647" t="s">
        <v>473</v>
      </c>
      <c r="M14" s="653"/>
      <c r="N14" s="654" t="s">
        <v>424</v>
      </c>
      <c r="O14" s="654" t="s">
        <v>424</v>
      </c>
      <c r="P14" s="654" t="s">
        <v>424</v>
      </c>
      <c r="Q14" s="654"/>
      <c r="R14" s="654"/>
      <c r="S14" s="654" t="s">
        <v>424</v>
      </c>
      <c r="T14" s="654" t="s">
        <v>424</v>
      </c>
      <c r="U14" s="654" t="s">
        <v>424</v>
      </c>
      <c r="V14" s="654" t="s">
        <v>424</v>
      </c>
      <c r="W14" s="654" t="s">
        <v>424</v>
      </c>
      <c r="X14" s="654"/>
      <c r="Y14" s="654" t="s">
        <v>439</v>
      </c>
      <c r="Z14" s="654" t="s">
        <v>439</v>
      </c>
      <c r="AA14" s="654" t="s">
        <v>439</v>
      </c>
      <c r="AB14" s="654" t="s">
        <v>445</v>
      </c>
      <c r="AC14" s="654" t="s">
        <v>445</v>
      </c>
      <c r="AD14" s="654" t="s">
        <v>424</v>
      </c>
      <c r="AE14" s="654" t="s">
        <v>424</v>
      </c>
      <c r="AF14" s="654" t="s">
        <v>424</v>
      </c>
      <c r="AG14" s="654"/>
      <c r="AH14" s="654"/>
      <c r="AI14" s="654" t="s">
        <v>424</v>
      </c>
      <c r="AJ14" s="654" t="s">
        <v>424</v>
      </c>
      <c r="AK14" s="654" t="s">
        <v>424</v>
      </c>
      <c r="AL14" s="654" t="s">
        <v>424</v>
      </c>
      <c r="AM14" s="654" t="s">
        <v>424</v>
      </c>
      <c r="AN14" s="654"/>
      <c r="AO14" s="654"/>
      <c r="AP14" s="655" t="s">
        <v>424</v>
      </c>
      <c r="AQ14" s="654" t="s">
        <v>424</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
      </c>
      <c r="G15" s="188"/>
      <c r="H15" s="188"/>
      <c r="I15" s="168" t="b">
        <v>0</v>
      </c>
      <c r="J15" s="624">
        <v>8.0</v>
      </c>
      <c r="K15" s="646" t="s">
        <v>119</v>
      </c>
      <c r="L15" s="647" t="s">
        <v>473</v>
      </c>
      <c r="M15" s="653"/>
      <c r="N15" s="654"/>
      <c r="O15" s="654" t="s">
        <v>424</v>
      </c>
      <c r="P15" s="654" t="s">
        <v>424</v>
      </c>
      <c r="Q15" s="654" t="s">
        <v>424</v>
      </c>
      <c r="R15" s="654" t="s">
        <v>424</v>
      </c>
      <c r="S15" s="654" t="s">
        <v>424</v>
      </c>
      <c r="T15" s="654"/>
      <c r="U15" s="654"/>
      <c r="V15" s="654" t="s">
        <v>424</v>
      </c>
      <c r="W15" s="654" t="s">
        <v>424</v>
      </c>
      <c r="X15" s="654" t="s">
        <v>424</v>
      </c>
      <c r="Y15" s="654" t="s">
        <v>424</v>
      </c>
      <c r="Z15" s="654" t="s">
        <v>424</v>
      </c>
      <c r="AA15" s="654"/>
      <c r="AB15" s="654"/>
      <c r="AC15" s="654" t="s">
        <v>424</v>
      </c>
      <c r="AD15" s="654" t="s">
        <v>424</v>
      </c>
      <c r="AE15" s="654" t="s">
        <v>424</v>
      </c>
      <c r="AF15" s="654"/>
      <c r="AG15" s="654" t="s">
        <v>424</v>
      </c>
      <c r="AH15" s="654" t="s">
        <v>424</v>
      </c>
      <c r="AI15" s="661" t="s">
        <v>474</v>
      </c>
      <c r="AJ15" s="654" t="s">
        <v>424</v>
      </c>
      <c r="AK15" s="654" t="s">
        <v>424</v>
      </c>
      <c r="AL15" s="654" t="s">
        <v>445</v>
      </c>
      <c r="AM15" s="654" t="s">
        <v>445</v>
      </c>
      <c r="AN15" s="654" t="s">
        <v>424</v>
      </c>
      <c r="AO15" s="654" t="s">
        <v>424</v>
      </c>
      <c r="AP15" s="655" t="s">
        <v>424</v>
      </c>
      <c r="AQ15" s="654" t="s">
        <v>424</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#N/A</v>
      </c>
      <c r="D16" s="188"/>
      <c r="E16" s="644" t="str">
        <f t="shared" si="6"/>
        <v>ウェリアン</v>
      </c>
      <c r="F16" s="645" t="str">
        <f t="shared" si="7"/>
        <v>本社</v>
      </c>
      <c r="G16" s="188"/>
      <c r="H16" s="188"/>
      <c r="I16" s="168" t="b">
        <v>0</v>
      </c>
      <c r="J16" s="624">
        <v>8.0</v>
      </c>
      <c r="K16" s="662" t="s">
        <v>475</v>
      </c>
      <c r="L16" s="647" t="s">
        <v>473</v>
      </c>
      <c r="M16" s="653"/>
      <c r="N16" s="654" t="s">
        <v>476</v>
      </c>
      <c r="O16" s="654" t="s">
        <v>424</v>
      </c>
      <c r="P16" s="654" t="s">
        <v>424</v>
      </c>
      <c r="Q16" s="654" t="s">
        <v>424</v>
      </c>
      <c r="R16" s="654"/>
      <c r="S16" s="654" t="s">
        <v>477</v>
      </c>
      <c r="T16" s="654" t="s">
        <v>424</v>
      </c>
      <c r="U16" s="654" t="s">
        <v>424</v>
      </c>
      <c r="V16" s="654"/>
      <c r="W16" s="654" t="s">
        <v>424</v>
      </c>
      <c r="X16" s="654" t="s">
        <v>424</v>
      </c>
      <c r="Y16" s="654" t="s">
        <v>424</v>
      </c>
      <c r="Z16" s="654" t="s">
        <v>477</v>
      </c>
      <c r="AA16" s="654" t="s">
        <v>424</v>
      </c>
      <c r="AB16" s="654"/>
      <c r="AC16" s="654"/>
      <c r="AD16" s="654" t="s">
        <v>424</v>
      </c>
      <c r="AE16" s="654" t="s">
        <v>424</v>
      </c>
      <c r="AF16" s="654" t="s">
        <v>424</v>
      </c>
      <c r="AG16" s="654" t="s">
        <v>477</v>
      </c>
      <c r="AH16" s="654" t="s">
        <v>424</v>
      </c>
      <c r="AI16" s="654"/>
      <c r="AJ16" s="654"/>
      <c r="AK16" s="654" t="s">
        <v>424</v>
      </c>
      <c r="AL16" s="654" t="s">
        <v>424</v>
      </c>
      <c r="AM16" s="654"/>
      <c r="AN16" s="654" t="s">
        <v>424</v>
      </c>
      <c r="AO16" s="654" t="s">
        <v>424</v>
      </c>
      <c r="AP16" s="655"/>
      <c r="AQ16" s="654" t="s">
        <v>424</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478</v>
      </c>
      <c r="L17" s="647" t="s">
        <v>473</v>
      </c>
      <c r="M17" s="653"/>
      <c r="N17" s="654" t="s">
        <v>476</v>
      </c>
      <c r="O17" s="654" t="s">
        <v>424</v>
      </c>
      <c r="P17" s="654" t="s">
        <v>424</v>
      </c>
      <c r="Q17" s="654"/>
      <c r="R17" s="654" t="s">
        <v>424</v>
      </c>
      <c r="S17" s="654" t="s">
        <v>477</v>
      </c>
      <c r="T17" s="654"/>
      <c r="U17" s="654"/>
      <c r="V17" s="654" t="s">
        <v>424</v>
      </c>
      <c r="W17" s="654" t="s">
        <v>424</v>
      </c>
      <c r="X17" s="654" t="s">
        <v>424</v>
      </c>
      <c r="Y17" s="654" t="s">
        <v>424</v>
      </c>
      <c r="Z17" s="654" t="s">
        <v>477</v>
      </c>
      <c r="AA17" s="654"/>
      <c r="AB17" s="654" t="s">
        <v>424</v>
      </c>
      <c r="AC17" s="654" t="s">
        <v>424</v>
      </c>
      <c r="AD17" s="654" t="s">
        <v>424</v>
      </c>
      <c r="AE17" s="654" t="s">
        <v>424</v>
      </c>
      <c r="AF17" s="654"/>
      <c r="AG17" s="654" t="s">
        <v>477</v>
      </c>
      <c r="AH17" s="654" t="s">
        <v>424</v>
      </c>
      <c r="AI17" s="654" t="s">
        <v>424</v>
      </c>
      <c r="AJ17" s="654"/>
      <c r="AK17" s="654" t="s">
        <v>424</v>
      </c>
      <c r="AL17" s="654" t="s">
        <v>424</v>
      </c>
      <c r="AM17" s="654" t="s">
        <v>424</v>
      </c>
      <c r="AN17" s="654" t="s">
        <v>424</v>
      </c>
      <c r="AO17" s="654"/>
      <c r="AP17" s="655" t="s">
        <v>424</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#N/A</v>
      </c>
      <c r="D18" s="188"/>
      <c r="E18" s="644" t="str">
        <f t="shared" ref="E18:E64" si="10">K18</f>
        <v>エマ</v>
      </c>
      <c r="F18" s="645" t="str">
        <f t="shared" ref="F18:F64" si="11">if(E18="","", xlookup($E$7,$N$7:$AR$7,$N18:$AR18))</f>
        <v>☆</v>
      </c>
      <c r="G18" s="188"/>
      <c r="H18" s="188"/>
      <c r="I18" s="168" t="b">
        <v>0</v>
      </c>
      <c r="J18" s="624"/>
      <c r="K18" s="662" t="s">
        <v>200</v>
      </c>
      <c r="L18" s="647" t="s">
        <v>479</v>
      </c>
      <c r="M18" s="653"/>
      <c r="N18" s="654" t="s">
        <v>424</v>
      </c>
      <c r="O18" s="654"/>
      <c r="P18" s="654"/>
      <c r="Q18" s="654" t="s">
        <v>424</v>
      </c>
      <c r="R18" s="654" t="s">
        <v>424</v>
      </c>
      <c r="S18" s="654"/>
      <c r="T18" s="654" t="s">
        <v>424</v>
      </c>
      <c r="U18" s="654" t="s">
        <v>424</v>
      </c>
      <c r="V18" s="654"/>
      <c r="W18" s="654"/>
      <c r="X18" s="654" t="s">
        <v>424</v>
      </c>
      <c r="Y18" s="654" t="s">
        <v>424</v>
      </c>
      <c r="Z18" s="654"/>
      <c r="AA18" s="654" t="s">
        <v>424</v>
      </c>
      <c r="AB18" s="654" t="s">
        <v>424</v>
      </c>
      <c r="AC18" s="654"/>
      <c r="AD18" s="654"/>
      <c r="AE18" s="654" t="s">
        <v>424</v>
      </c>
      <c r="AF18" s="654" t="s">
        <v>424</v>
      </c>
      <c r="AG18" s="654"/>
      <c r="AH18" s="654" t="s">
        <v>424</v>
      </c>
      <c r="AI18" s="654" t="s">
        <v>424</v>
      </c>
      <c r="AJ18" s="654"/>
      <c r="AK18" s="654"/>
      <c r="AL18" s="654" t="s">
        <v>424</v>
      </c>
      <c r="AM18" s="654" t="s">
        <v>424</v>
      </c>
      <c r="AN18" s="654"/>
      <c r="AO18" s="654" t="s">
        <v>424</v>
      </c>
      <c r="AP18" s="655" t="s">
        <v>424</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#N/A</v>
      </c>
      <c r="D19" s="188"/>
      <c r="E19" s="644" t="str">
        <f t="shared" si="10"/>
        <v>ジャムナ</v>
      </c>
      <c r="F19" s="645" t="str">
        <f t="shared" si="11"/>
        <v>☆</v>
      </c>
      <c r="G19" s="188"/>
      <c r="H19" s="188"/>
      <c r="I19" s="168" t="b">
        <v>0</v>
      </c>
      <c r="J19" s="624"/>
      <c r="K19" s="662" t="s">
        <v>196</v>
      </c>
      <c r="L19" s="647" t="s">
        <v>479</v>
      </c>
      <c r="M19" s="653"/>
      <c r="N19" s="654" t="s">
        <v>424</v>
      </c>
      <c r="O19" s="654"/>
      <c r="P19" s="654"/>
      <c r="Q19" s="654"/>
      <c r="R19" s="654" t="s">
        <v>424</v>
      </c>
      <c r="S19" s="654" t="s">
        <v>424</v>
      </c>
      <c r="T19" s="654"/>
      <c r="U19" s="654" t="s">
        <v>424</v>
      </c>
      <c r="V19" s="654"/>
      <c r="W19" s="654"/>
      <c r="X19" s="654"/>
      <c r="Y19" s="654"/>
      <c r="Z19" s="654" t="s">
        <v>424</v>
      </c>
      <c r="AA19" s="654"/>
      <c r="AB19" s="654" t="s">
        <v>424</v>
      </c>
      <c r="AC19" s="654"/>
      <c r="AD19" s="654"/>
      <c r="AE19" s="654"/>
      <c r="AF19" s="654" t="s">
        <v>424</v>
      </c>
      <c r="AG19" s="654" t="s">
        <v>424</v>
      </c>
      <c r="AH19" s="654"/>
      <c r="AI19" s="654" t="s">
        <v>424</v>
      </c>
      <c r="AJ19" s="654"/>
      <c r="AK19" s="654"/>
      <c r="AL19" s="654"/>
      <c r="AM19" s="654" t="s">
        <v>424</v>
      </c>
      <c r="AN19" s="654" t="s">
        <v>424</v>
      </c>
      <c r="AO19" s="654"/>
      <c r="AP19" s="655" t="s">
        <v>424</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#N/A</v>
      </c>
      <c r="D20" s="188"/>
      <c r="E20" s="644" t="str">
        <f t="shared" si="10"/>
        <v>ラディカ</v>
      </c>
      <c r="F20" s="645" t="str">
        <f t="shared" si="11"/>
        <v/>
      </c>
      <c r="G20" s="188"/>
      <c r="H20" s="188"/>
      <c r="I20" s="168" t="b">
        <v>0</v>
      </c>
      <c r="J20" s="624"/>
      <c r="K20" s="664" t="s">
        <v>136</v>
      </c>
      <c r="L20" s="647" t="s">
        <v>479</v>
      </c>
      <c r="M20" s="653"/>
      <c r="N20" s="654"/>
      <c r="O20" s="654" t="s">
        <v>424</v>
      </c>
      <c r="P20" s="654" t="s">
        <v>424</v>
      </c>
      <c r="Q20" s="654"/>
      <c r="R20" s="654"/>
      <c r="S20" s="654"/>
      <c r="T20" s="654" t="s">
        <v>424</v>
      </c>
      <c r="U20" s="654"/>
      <c r="V20" s="654" t="s">
        <v>424</v>
      </c>
      <c r="W20" s="654" t="s">
        <v>424</v>
      </c>
      <c r="X20" s="654"/>
      <c r="Y20" s="654"/>
      <c r="Z20" s="654"/>
      <c r="AA20" s="654" t="s">
        <v>424</v>
      </c>
      <c r="AB20" s="654"/>
      <c r="AC20" s="654" t="s">
        <v>424</v>
      </c>
      <c r="AD20" s="654" t="s">
        <v>424</v>
      </c>
      <c r="AE20" s="654"/>
      <c r="AF20" s="654"/>
      <c r="AG20" s="654"/>
      <c r="AH20" s="654" t="s">
        <v>424</v>
      </c>
      <c r="AI20" s="654"/>
      <c r="AJ20" s="654" t="s">
        <v>424</v>
      </c>
      <c r="AK20" s="654" t="s">
        <v>424</v>
      </c>
      <c r="AL20" s="654"/>
      <c r="AM20" s="654"/>
      <c r="AN20" s="654"/>
      <c r="AO20" s="654" t="s">
        <v>424</v>
      </c>
      <c r="AP20" s="655"/>
      <c r="AQ20" s="654" t="s">
        <v>424</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479</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479</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#N/A</v>
      </c>
      <c r="D23" s="188"/>
      <c r="E23" s="644" t="str">
        <f t="shared" si="10"/>
        <v>グループ化開いて
従業員追加</v>
      </c>
      <c r="F23" s="645" t="str">
        <f t="shared" si="11"/>
        <v/>
      </c>
      <c r="G23" s="188"/>
      <c r="H23" s="188"/>
      <c r="I23" s="168" t="b">
        <v>0</v>
      </c>
      <c r="J23" s="624"/>
      <c r="K23" s="646" t="s">
        <v>480</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t="str">
        <f t="shared" si="9"/>
        <v>#N/A</v>
      </c>
      <c r="D42" s="188"/>
      <c r="E42" s="644" t="str">
        <f t="shared" si="10"/>
        <v>メイド数</v>
      </c>
      <c r="F42" s="645">
        <f t="shared" si="11"/>
        <v>13</v>
      </c>
      <c r="G42" s="188"/>
      <c r="H42" s="188"/>
      <c r="I42" s="168" t="b">
        <v>0</v>
      </c>
      <c r="J42" s="624"/>
      <c r="K42" s="646" t="s">
        <v>481</v>
      </c>
      <c r="L42" s="647" t="s">
        <v>479</v>
      </c>
      <c r="M42" s="648" t="s">
        <v>233</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465</v>
      </c>
      <c r="AT42" s="654" t="s">
        <v>465</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t="str">
        <f t="shared" si="9"/>
        <v>#N/A</v>
      </c>
      <c r="D43" s="188"/>
      <c r="E43" s="644" t="str">
        <f t="shared" si="10"/>
        <v>パブリック数</v>
      </c>
      <c r="F43" s="645">
        <f t="shared" si="11"/>
        <v>0</v>
      </c>
      <c r="G43" s="188"/>
      <c r="H43" s="188"/>
      <c r="I43" s="168" t="b">
        <v>0</v>
      </c>
      <c r="J43" s="624"/>
      <c r="K43" s="646" t="s">
        <v>482</v>
      </c>
      <c r="L43" s="647" t="s">
        <v>479</v>
      </c>
      <c r="M43" s="648" t="s">
        <v>427</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465</v>
      </c>
      <c r="AT43" s="654" t="s">
        <v>465</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t="str">
        <f t="shared" si="9"/>
        <v>#N/A</v>
      </c>
      <c r="D44" s="188"/>
      <c r="E44" s="644" t="str">
        <f t="shared" si="10"/>
        <v>合計清掃数</v>
      </c>
      <c r="F44" s="645">
        <f t="shared" si="11"/>
        <v>0</v>
      </c>
      <c r="G44" s="188"/>
      <c r="H44" s="188"/>
      <c r="I44" s="667" t="b">
        <v>0</v>
      </c>
      <c r="J44" s="624"/>
      <c r="K44" s="668" t="s">
        <v>483</v>
      </c>
      <c r="L44" s="669" t="s">
        <v>484</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465</v>
      </c>
      <c r="AT44" s="654" t="s">
        <v>465</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#N/A</v>
      </c>
      <c r="D45" s="188"/>
      <c r="E45" s="644" t="str">
        <f t="shared" si="10"/>
        <v>稼働予定</v>
      </c>
      <c r="F45" s="645" t="str">
        <f t="shared" si="11"/>
        <v/>
      </c>
      <c r="G45" s="188"/>
      <c r="H45" s="188"/>
      <c r="I45" s="168" t="b">
        <v>0</v>
      </c>
      <c r="J45" s="624" t="s">
        <v>485</v>
      </c>
      <c r="K45" s="646" t="s">
        <v>486</v>
      </c>
      <c r="L45" s="647" t="s">
        <v>484</v>
      </c>
      <c r="M45" s="648" t="s">
        <v>485</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465</v>
      </c>
      <c r="AT45" s="654" t="s">
        <v>465</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#N/A</v>
      </c>
      <c r="D46" s="188"/>
      <c r="E46" s="644" t="str">
        <f t="shared" si="10"/>
        <v>プスカル</v>
      </c>
      <c r="F46" s="645" t="str">
        <f t="shared" si="11"/>
        <v>〇</v>
      </c>
      <c r="G46" s="188"/>
      <c r="H46" s="188"/>
      <c r="I46" s="168" t="b">
        <v>0</v>
      </c>
      <c r="J46" s="624"/>
      <c r="K46" s="646" t="s">
        <v>197</v>
      </c>
      <c r="L46" s="647" t="s">
        <v>487</v>
      </c>
      <c r="M46" s="653"/>
      <c r="N46" s="654" t="s">
        <v>233</v>
      </c>
      <c r="O46" s="654" t="s">
        <v>233</v>
      </c>
      <c r="P46" s="654" t="s">
        <v>233</v>
      </c>
      <c r="Q46" s="654" t="s">
        <v>233</v>
      </c>
      <c r="R46" s="654" t="s">
        <v>233</v>
      </c>
      <c r="S46" s="654"/>
      <c r="T46" s="654" t="s">
        <v>233</v>
      </c>
      <c r="U46" s="654" t="s">
        <v>233</v>
      </c>
      <c r="V46" s="654" t="s">
        <v>233</v>
      </c>
      <c r="W46" s="654" t="s">
        <v>233</v>
      </c>
      <c r="X46" s="654" t="s">
        <v>233</v>
      </c>
      <c r="Y46" s="654" t="s">
        <v>233</v>
      </c>
      <c r="Z46" s="654"/>
      <c r="AA46" s="654" t="s">
        <v>233</v>
      </c>
      <c r="AB46" s="654" t="s">
        <v>233</v>
      </c>
      <c r="AC46" s="654" t="s">
        <v>233</v>
      </c>
      <c r="AD46" s="654" t="s">
        <v>233</v>
      </c>
      <c r="AE46" s="654" t="s">
        <v>233</v>
      </c>
      <c r="AF46" s="654" t="s">
        <v>233</v>
      </c>
      <c r="AG46" s="654"/>
      <c r="AH46" s="654" t="s">
        <v>233</v>
      </c>
      <c r="AI46" s="654" t="s">
        <v>233</v>
      </c>
      <c r="AJ46" s="654" t="s">
        <v>233</v>
      </c>
      <c r="AK46" s="654" t="s">
        <v>233</v>
      </c>
      <c r="AL46" s="654" t="s">
        <v>233</v>
      </c>
      <c r="AM46" s="654" t="s">
        <v>233</v>
      </c>
      <c r="AN46" s="654"/>
      <c r="AO46" s="654" t="s">
        <v>233</v>
      </c>
      <c r="AP46" s="655" t="s">
        <v>233</v>
      </c>
      <c r="AQ46" s="654" t="s">
        <v>233</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#N/A</v>
      </c>
      <c r="D47" s="188"/>
      <c r="E47" s="644" t="str">
        <f t="shared" si="10"/>
        <v>モハン</v>
      </c>
      <c r="F47" s="645" t="str">
        <f t="shared" si="11"/>
        <v>〇</v>
      </c>
      <c r="G47" s="188"/>
      <c r="H47" s="188"/>
      <c r="I47" s="168" t="b">
        <v>0</v>
      </c>
      <c r="J47" s="624"/>
      <c r="K47" s="646" t="s">
        <v>190</v>
      </c>
      <c r="L47" s="647" t="s">
        <v>487</v>
      </c>
      <c r="M47" s="653"/>
      <c r="N47" s="654" t="s">
        <v>233</v>
      </c>
      <c r="O47" s="654" t="s">
        <v>233</v>
      </c>
      <c r="P47" s="654" t="s">
        <v>233</v>
      </c>
      <c r="Q47" s="654" t="s">
        <v>233</v>
      </c>
      <c r="R47" s="654" t="s">
        <v>233</v>
      </c>
      <c r="S47" s="654" t="s">
        <v>233</v>
      </c>
      <c r="T47" s="654"/>
      <c r="U47" s="654" t="s">
        <v>233</v>
      </c>
      <c r="V47" s="654" t="s">
        <v>233</v>
      </c>
      <c r="W47" s="654" t="s">
        <v>233</v>
      </c>
      <c r="X47" s="654" t="s">
        <v>233</v>
      </c>
      <c r="Y47" s="654" t="s">
        <v>233</v>
      </c>
      <c r="Z47" s="654" t="s">
        <v>233</v>
      </c>
      <c r="AA47" s="654"/>
      <c r="AB47" s="654" t="s">
        <v>233</v>
      </c>
      <c r="AC47" s="654" t="s">
        <v>233</v>
      </c>
      <c r="AD47" s="654" t="s">
        <v>233</v>
      </c>
      <c r="AE47" s="654" t="s">
        <v>233</v>
      </c>
      <c r="AF47" s="654" t="s">
        <v>439</v>
      </c>
      <c r="AG47" s="654" t="s">
        <v>233</v>
      </c>
      <c r="AH47" s="654"/>
      <c r="AI47" s="654" t="s">
        <v>233</v>
      </c>
      <c r="AJ47" s="654" t="s">
        <v>233</v>
      </c>
      <c r="AK47" s="654" t="s">
        <v>233</v>
      </c>
      <c r="AL47" s="654" t="s">
        <v>233</v>
      </c>
      <c r="AM47" s="654" t="s">
        <v>233</v>
      </c>
      <c r="AN47" s="654" t="s">
        <v>233</v>
      </c>
      <c r="AO47" s="654"/>
      <c r="AP47" s="655" t="s">
        <v>233</v>
      </c>
      <c r="AQ47" s="654" t="s">
        <v>233</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#N/A</v>
      </c>
      <c r="D48" s="188"/>
      <c r="E48" s="644" t="str">
        <f t="shared" si="10"/>
        <v>ナバーロ</v>
      </c>
      <c r="F48" s="645" t="str">
        <f t="shared" si="11"/>
        <v>〇</v>
      </c>
      <c r="G48" s="188"/>
      <c r="H48" s="188"/>
      <c r="I48" s="168" t="b">
        <v>0</v>
      </c>
      <c r="J48" s="624"/>
      <c r="K48" s="646" t="s">
        <v>488</v>
      </c>
      <c r="L48" s="647" t="s">
        <v>487</v>
      </c>
      <c r="M48" s="653"/>
      <c r="N48" s="654" t="s">
        <v>233</v>
      </c>
      <c r="O48" s="654"/>
      <c r="P48" s="654" t="s">
        <v>233</v>
      </c>
      <c r="Q48" s="654" t="s">
        <v>233</v>
      </c>
      <c r="R48" s="654" t="s">
        <v>233</v>
      </c>
      <c r="S48" s="654" t="s">
        <v>233</v>
      </c>
      <c r="T48" s="654"/>
      <c r="U48" s="654" t="s">
        <v>233</v>
      </c>
      <c r="V48" s="654" t="s">
        <v>233</v>
      </c>
      <c r="W48" s="654" t="s">
        <v>233</v>
      </c>
      <c r="X48" s="654" t="s">
        <v>233</v>
      </c>
      <c r="Y48" s="654" t="s">
        <v>233</v>
      </c>
      <c r="Z48" s="654" t="s">
        <v>233</v>
      </c>
      <c r="AA48" s="654"/>
      <c r="AB48" s="654" t="s">
        <v>233</v>
      </c>
      <c r="AC48" s="654" t="s">
        <v>233</v>
      </c>
      <c r="AD48" s="654" t="s">
        <v>233</v>
      </c>
      <c r="AE48" s="654" t="s">
        <v>233</v>
      </c>
      <c r="AF48" s="654" t="s">
        <v>233</v>
      </c>
      <c r="AG48" s="654" t="s">
        <v>233</v>
      </c>
      <c r="AH48" s="654"/>
      <c r="AI48" s="654" t="s">
        <v>233</v>
      </c>
      <c r="AJ48" s="654" t="s">
        <v>233</v>
      </c>
      <c r="AK48" s="654" t="s">
        <v>233</v>
      </c>
      <c r="AL48" s="654" t="s">
        <v>233</v>
      </c>
      <c r="AM48" s="654" t="s">
        <v>233</v>
      </c>
      <c r="AN48" s="654" t="s">
        <v>233</v>
      </c>
      <c r="AO48" s="654"/>
      <c r="AP48" s="655" t="s">
        <v>233</v>
      </c>
      <c r="AQ48" s="654" t="s">
        <v>233</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#N/A</v>
      </c>
      <c r="D49" s="188"/>
      <c r="E49" s="644" t="str">
        <f t="shared" si="10"/>
        <v>スニタ</v>
      </c>
      <c r="F49" s="645" t="str">
        <f t="shared" si="11"/>
        <v>〇</v>
      </c>
      <c r="G49" s="188"/>
      <c r="H49" s="188"/>
      <c r="I49" s="168" t="b">
        <v>0</v>
      </c>
      <c r="J49" s="624"/>
      <c r="K49" s="646" t="s">
        <v>489</v>
      </c>
      <c r="L49" s="647" t="s">
        <v>487</v>
      </c>
      <c r="M49" s="653"/>
      <c r="N49" s="654" t="s">
        <v>233</v>
      </c>
      <c r="O49" s="654" t="s">
        <v>233</v>
      </c>
      <c r="P49" s="654" t="s">
        <v>233</v>
      </c>
      <c r="Q49" s="654" t="s">
        <v>233</v>
      </c>
      <c r="R49" s="654" t="s">
        <v>233</v>
      </c>
      <c r="S49" s="654"/>
      <c r="T49" s="654" t="s">
        <v>233</v>
      </c>
      <c r="U49" s="654" t="s">
        <v>233</v>
      </c>
      <c r="V49" s="654" t="s">
        <v>233</v>
      </c>
      <c r="W49" s="654" t="s">
        <v>233</v>
      </c>
      <c r="X49" s="654" t="s">
        <v>233</v>
      </c>
      <c r="Y49" s="654" t="s">
        <v>233</v>
      </c>
      <c r="Z49" s="654"/>
      <c r="AA49" s="654" t="s">
        <v>233</v>
      </c>
      <c r="AB49" s="654" t="s">
        <v>233</v>
      </c>
      <c r="AC49" s="654" t="s">
        <v>233</v>
      </c>
      <c r="AD49" s="654" t="s">
        <v>233</v>
      </c>
      <c r="AE49" s="654" t="s">
        <v>233</v>
      </c>
      <c r="AF49" s="654" t="s">
        <v>233</v>
      </c>
      <c r="AG49" s="654"/>
      <c r="AH49" s="654" t="s">
        <v>233</v>
      </c>
      <c r="AI49" s="654" t="s">
        <v>233</v>
      </c>
      <c r="AJ49" s="654" t="s">
        <v>233</v>
      </c>
      <c r="AK49" s="654" t="s">
        <v>233</v>
      </c>
      <c r="AL49" s="654" t="s">
        <v>233</v>
      </c>
      <c r="AM49" s="654" t="s">
        <v>233</v>
      </c>
      <c r="AN49" s="654"/>
      <c r="AO49" s="654" t="s">
        <v>233</v>
      </c>
      <c r="AP49" s="655" t="s">
        <v>233</v>
      </c>
      <c r="AQ49" s="654" t="s">
        <v>233</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#N/A</v>
      </c>
      <c r="D50" s="188"/>
      <c r="E50" s="644" t="str">
        <f t="shared" si="10"/>
        <v>ジャスミン</v>
      </c>
      <c r="F50" s="645" t="str">
        <f t="shared" si="11"/>
        <v/>
      </c>
      <c r="G50" s="188"/>
      <c r="H50" s="188"/>
      <c r="I50" s="168" t="b">
        <v>0</v>
      </c>
      <c r="J50" s="624"/>
      <c r="K50" s="664" t="s">
        <v>490</v>
      </c>
      <c r="L50" s="647" t="s">
        <v>487</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#N/A</v>
      </c>
      <c r="D51" s="188"/>
      <c r="E51" s="644" t="str">
        <f t="shared" si="10"/>
        <v>シタ</v>
      </c>
      <c r="F51" s="645" t="str">
        <f t="shared" si="11"/>
        <v>〇</v>
      </c>
      <c r="G51" s="188"/>
      <c r="H51" s="188"/>
      <c r="I51" s="168" t="b">
        <v>0</v>
      </c>
      <c r="J51" s="624"/>
      <c r="K51" s="664" t="s">
        <v>491</v>
      </c>
      <c r="L51" s="647" t="s">
        <v>487</v>
      </c>
      <c r="M51" s="653"/>
      <c r="N51" s="654" t="s">
        <v>233</v>
      </c>
      <c r="O51" s="654"/>
      <c r="P51" s="654"/>
      <c r="Q51" s="654"/>
      <c r="R51" s="654" t="s">
        <v>233</v>
      </c>
      <c r="S51" s="654" t="s">
        <v>233</v>
      </c>
      <c r="T51" s="654" t="s">
        <v>233</v>
      </c>
      <c r="U51" s="654" t="s">
        <v>233</v>
      </c>
      <c r="V51" s="654"/>
      <c r="W51" s="654"/>
      <c r="X51" s="654"/>
      <c r="Y51" s="654" t="s">
        <v>233</v>
      </c>
      <c r="Z51" s="654" t="s">
        <v>233</v>
      </c>
      <c r="AA51" s="654" t="s">
        <v>233</v>
      </c>
      <c r="AB51" s="654" t="s">
        <v>233</v>
      </c>
      <c r="AC51" s="654"/>
      <c r="AD51" s="654"/>
      <c r="AE51" s="654"/>
      <c r="AF51" s="654" t="s">
        <v>233</v>
      </c>
      <c r="AG51" s="654" t="s">
        <v>233</v>
      </c>
      <c r="AH51" s="654" t="s">
        <v>233</v>
      </c>
      <c r="AI51" s="654" t="s">
        <v>233</v>
      </c>
      <c r="AJ51" s="654"/>
      <c r="AK51" s="654"/>
      <c r="AL51" s="654"/>
      <c r="AM51" s="654" t="s">
        <v>233</v>
      </c>
      <c r="AN51" s="654" t="s">
        <v>233</v>
      </c>
      <c r="AO51" s="654" t="s">
        <v>233</v>
      </c>
      <c r="AP51" s="655" t="s">
        <v>233</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#N/A</v>
      </c>
      <c r="D52" s="188"/>
      <c r="E52" s="644" t="str">
        <f t="shared" si="10"/>
        <v>アンドレイ</v>
      </c>
      <c r="F52" s="645" t="str">
        <f t="shared" si="11"/>
        <v>〇</v>
      </c>
      <c r="G52" s="188"/>
      <c r="H52" s="188"/>
      <c r="I52" s="168" t="b">
        <v>0</v>
      </c>
      <c r="J52" s="624"/>
      <c r="K52" s="664" t="s">
        <v>492</v>
      </c>
      <c r="L52" s="647" t="s">
        <v>487</v>
      </c>
      <c r="M52" s="653"/>
      <c r="N52" s="654" t="s">
        <v>233</v>
      </c>
      <c r="O52" s="654" t="s">
        <v>233</v>
      </c>
      <c r="P52" s="654" t="s">
        <v>233</v>
      </c>
      <c r="Q52" s="654" t="s">
        <v>233</v>
      </c>
      <c r="R52" s="654" t="s">
        <v>233</v>
      </c>
      <c r="S52" s="654" t="s">
        <v>233</v>
      </c>
      <c r="T52" s="654"/>
      <c r="U52" s="654" t="s">
        <v>233</v>
      </c>
      <c r="V52" s="654" t="s">
        <v>233</v>
      </c>
      <c r="W52" s="654" t="s">
        <v>233</v>
      </c>
      <c r="X52" s="654" t="s">
        <v>233</v>
      </c>
      <c r="Y52" s="654" t="s">
        <v>233</v>
      </c>
      <c r="Z52" s="654" t="s">
        <v>233</v>
      </c>
      <c r="AA52" s="654"/>
      <c r="AB52" s="654" t="s">
        <v>233</v>
      </c>
      <c r="AC52" s="654" t="s">
        <v>233</v>
      </c>
      <c r="AD52" s="654" t="s">
        <v>233</v>
      </c>
      <c r="AE52" s="654" t="s">
        <v>233</v>
      </c>
      <c r="AF52" s="654" t="s">
        <v>233</v>
      </c>
      <c r="AG52" s="654" t="s">
        <v>233</v>
      </c>
      <c r="AH52" s="654"/>
      <c r="AI52" s="654" t="s">
        <v>233</v>
      </c>
      <c r="AJ52" s="654" t="s">
        <v>233</v>
      </c>
      <c r="AK52" s="654" t="s">
        <v>233</v>
      </c>
      <c r="AL52" s="654" t="s">
        <v>233</v>
      </c>
      <c r="AM52" s="654" t="s">
        <v>233</v>
      </c>
      <c r="AN52" s="654" t="s">
        <v>233</v>
      </c>
      <c r="AO52" s="654"/>
      <c r="AP52" s="655" t="s">
        <v>233</v>
      </c>
      <c r="AQ52" s="654" t="s">
        <v>233</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#N/A</v>
      </c>
      <c r="D53" s="188"/>
      <c r="E53" s="644" t="str">
        <f t="shared" si="10"/>
        <v>ラリー</v>
      </c>
      <c r="F53" s="645" t="str">
        <f t="shared" si="11"/>
        <v/>
      </c>
      <c r="G53" s="188"/>
      <c r="H53" s="188"/>
      <c r="I53" s="168" t="b">
        <v>0</v>
      </c>
      <c r="J53" s="624"/>
      <c r="K53" s="664" t="s">
        <v>157</v>
      </c>
      <c r="L53" s="647" t="s">
        <v>487</v>
      </c>
      <c r="M53" s="648"/>
      <c r="N53" s="654"/>
      <c r="O53" s="654"/>
      <c r="P53" s="654"/>
      <c r="Q53" s="654" t="s">
        <v>233</v>
      </c>
      <c r="R53" s="654"/>
      <c r="S53" s="654"/>
      <c r="T53" s="654"/>
      <c r="U53" s="654"/>
      <c r="V53" s="654"/>
      <c r="W53" s="654"/>
      <c r="X53" s="654" t="s">
        <v>233</v>
      </c>
      <c r="Y53" s="654" t="s">
        <v>233</v>
      </c>
      <c r="Z53" s="654"/>
      <c r="AA53" s="654"/>
      <c r="AB53" s="654"/>
      <c r="AC53" s="654"/>
      <c r="AD53" s="654"/>
      <c r="AE53" s="654" t="s">
        <v>233</v>
      </c>
      <c r="AF53" s="654" t="s">
        <v>233</v>
      </c>
      <c r="AG53" s="654"/>
      <c r="AH53" s="654"/>
      <c r="AI53" s="654"/>
      <c r="AJ53" s="654"/>
      <c r="AK53" s="654"/>
      <c r="AL53" s="654" t="s">
        <v>233</v>
      </c>
      <c r="AM53" s="654" t="s">
        <v>233</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#N/A</v>
      </c>
      <c r="D54" s="188"/>
      <c r="E54" s="644" t="str">
        <f t="shared" si="10"/>
        <v>ソバ</v>
      </c>
      <c r="F54" s="645" t="str">
        <f t="shared" si="11"/>
        <v>〇</v>
      </c>
      <c r="G54" s="188"/>
      <c r="H54" s="188"/>
      <c r="I54" s="168" t="b">
        <v>0</v>
      </c>
      <c r="J54" s="624"/>
      <c r="K54" s="664" t="s">
        <v>204</v>
      </c>
      <c r="L54" s="647" t="s">
        <v>487</v>
      </c>
      <c r="M54" s="648"/>
      <c r="N54" s="654" t="s">
        <v>233</v>
      </c>
      <c r="O54" s="654"/>
      <c r="P54" s="654" t="s">
        <v>233</v>
      </c>
      <c r="Q54" s="654" t="s">
        <v>233</v>
      </c>
      <c r="R54" s="654" t="s">
        <v>233</v>
      </c>
      <c r="S54" s="654" t="s">
        <v>233</v>
      </c>
      <c r="T54" s="654" t="s">
        <v>233</v>
      </c>
      <c r="U54" s="654" t="s">
        <v>233</v>
      </c>
      <c r="V54" s="654"/>
      <c r="W54" s="654" t="s">
        <v>233</v>
      </c>
      <c r="X54" s="654" t="s">
        <v>233</v>
      </c>
      <c r="Y54" s="654" t="s">
        <v>233</v>
      </c>
      <c r="Z54" s="654" t="s">
        <v>233</v>
      </c>
      <c r="AA54" s="654" t="s">
        <v>233</v>
      </c>
      <c r="AB54" s="654" t="s">
        <v>233</v>
      </c>
      <c r="AC54" s="654"/>
      <c r="AD54" s="654" t="s">
        <v>233</v>
      </c>
      <c r="AE54" s="654" t="s">
        <v>233</v>
      </c>
      <c r="AF54" s="654" t="s">
        <v>233</v>
      </c>
      <c r="AG54" s="654" t="s">
        <v>233</v>
      </c>
      <c r="AH54" s="654" t="s">
        <v>233</v>
      </c>
      <c r="AI54" s="654" t="s">
        <v>233</v>
      </c>
      <c r="AJ54" s="654"/>
      <c r="AK54" s="654" t="s">
        <v>233</v>
      </c>
      <c r="AL54" s="654" t="s">
        <v>233</v>
      </c>
      <c r="AM54" s="654" t="s">
        <v>233</v>
      </c>
      <c r="AN54" s="654" t="s">
        <v>233</v>
      </c>
      <c r="AO54" s="654" t="s">
        <v>233</v>
      </c>
      <c r="AP54" s="655" t="s">
        <v>233</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#N/A</v>
      </c>
      <c r="D55" s="188"/>
      <c r="E55" s="644" t="str">
        <f t="shared" si="10"/>
        <v>サムジャナ</v>
      </c>
      <c r="F55" s="645" t="str">
        <f t="shared" si="11"/>
        <v/>
      </c>
      <c r="G55" s="188"/>
      <c r="H55" s="188"/>
      <c r="I55" s="168" t="b">
        <v>0</v>
      </c>
      <c r="J55" s="624"/>
      <c r="K55" s="664" t="s">
        <v>103</v>
      </c>
      <c r="L55" s="647" t="s">
        <v>487</v>
      </c>
      <c r="M55" s="653"/>
      <c r="N55" s="654"/>
      <c r="O55" s="654" t="s">
        <v>233</v>
      </c>
      <c r="P55" s="654" t="s">
        <v>233</v>
      </c>
      <c r="Q55" s="654" t="s">
        <v>233</v>
      </c>
      <c r="R55" s="654" t="s">
        <v>233</v>
      </c>
      <c r="S55" s="654" t="s">
        <v>233</v>
      </c>
      <c r="T55" s="654" t="s">
        <v>233</v>
      </c>
      <c r="U55" s="654"/>
      <c r="V55" s="654" t="s">
        <v>233</v>
      </c>
      <c r="W55" s="654" t="s">
        <v>233</v>
      </c>
      <c r="X55" s="654" t="s">
        <v>233</v>
      </c>
      <c r="Y55" s="654" t="s">
        <v>233</v>
      </c>
      <c r="Z55" s="654" t="s">
        <v>233</v>
      </c>
      <c r="AA55" s="654" t="s">
        <v>233</v>
      </c>
      <c r="AB55" s="654"/>
      <c r="AC55" s="654" t="s">
        <v>233</v>
      </c>
      <c r="AD55" s="654" t="s">
        <v>233</v>
      </c>
      <c r="AE55" s="654" t="s">
        <v>233</v>
      </c>
      <c r="AF55" s="654" t="s">
        <v>233</v>
      </c>
      <c r="AG55" s="654" t="s">
        <v>233</v>
      </c>
      <c r="AH55" s="654" t="s">
        <v>233</v>
      </c>
      <c r="AI55" s="654"/>
      <c r="AJ55" s="654" t="s">
        <v>233</v>
      </c>
      <c r="AK55" s="654" t="s">
        <v>233</v>
      </c>
      <c r="AL55" s="654" t="s">
        <v>233</v>
      </c>
      <c r="AM55" s="654" t="s">
        <v>233</v>
      </c>
      <c r="AN55" s="654" t="s">
        <v>233</v>
      </c>
      <c r="AO55" s="654" t="s">
        <v>233</v>
      </c>
      <c r="AP55" s="655"/>
      <c r="AQ55" s="654" t="s">
        <v>233</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#N/A</v>
      </c>
      <c r="D56" s="188"/>
      <c r="E56" s="644" t="str">
        <f t="shared" si="10"/>
        <v>ビマラ</v>
      </c>
      <c r="F56" s="645" t="str">
        <f t="shared" si="11"/>
        <v>〇</v>
      </c>
      <c r="G56" s="188"/>
      <c r="H56" s="188"/>
      <c r="I56" s="168" t="b">
        <v>0</v>
      </c>
      <c r="J56" s="624"/>
      <c r="K56" s="664" t="s">
        <v>493</v>
      </c>
      <c r="L56" s="647" t="s">
        <v>487</v>
      </c>
      <c r="M56" s="653"/>
      <c r="N56" s="654" t="s">
        <v>233</v>
      </c>
      <c r="O56" s="654" t="s">
        <v>233</v>
      </c>
      <c r="P56" s="654" t="s">
        <v>233</v>
      </c>
      <c r="Q56" s="654" t="s">
        <v>233</v>
      </c>
      <c r="R56" s="654" t="s">
        <v>233</v>
      </c>
      <c r="S56" s="654"/>
      <c r="T56" s="654" t="s">
        <v>233</v>
      </c>
      <c r="U56" s="654" t="s">
        <v>233</v>
      </c>
      <c r="V56" s="654" t="s">
        <v>233</v>
      </c>
      <c r="W56" s="654" t="s">
        <v>233</v>
      </c>
      <c r="X56" s="654" t="s">
        <v>233</v>
      </c>
      <c r="Y56" s="654" t="s">
        <v>233</v>
      </c>
      <c r="Z56" s="654"/>
      <c r="AA56" s="654" t="s">
        <v>233</v>
      </c>
      <c r="AB56" s="654" t="s">
        <v>233</v>
      </c>
      <c r="AC56" s="654" t="s">
        <v>233</v>
      </c>
      <c r="AD56" s="654" t="s">
        <v>233</v>
      </c>
      <c r="AE56" s="654" t="s">
        <v>233</v>
      </c>
      <c r="AF56" s="654" t="s">
        <v>233</v>
      </c>
      <c r="AG56" s="654"/>
      <c r="AH56" s="654" t="s">
        <v>233</v>
      </c>
      <c r="AI56" s="654" t="s">
        <v>233</v>
      </c>
      <c r="AJ56" s="654" t="s">
        <v>233</v>
      </c>
      <c r="AK56" s="654" t="s">
        <v>233</v>
      </c>
      <c r="AL56" s="654" t="s">
        <v>233</v>
      </c>
      <c r="AM56" s="654" t="s">
        <v>233</v>
      </c>
      <c r="AN56" s="654"/>
      <c r="AO56" s="654" t="s">
        <v>233</v>
      </c>
      <c r="AP56" s="655" t="s">
        <v>233</v>
      </c>
      <c r="AQ56" s="654" t="s">
        <v>233</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#N/A</v>
      </c>
      <c r="D57" s="188"/>
      <c r="E57" s="644" t="str">
        <f t="shared" si="10"/>
        <v>ススマ</v>
      </c>
      <c r="F57" s="645" t="str">
        <f t="shared" si="11"/>
        <v>〇</v>
      </c>
      <c r="G57" s="188"/>
      <c r="H57" s="188"/>
      <c r="I57" s="168" t="b">
        <v>0</v>
      </c>
      <c r="J57" s="624"/>
      <c r="K57" s="664" t="s">
        <v>494</v>
      </c>
      <c r="L57" s="647" t="s">
        <v>487</v>
      </c>
      <c r="M57" s="653"/>
      <c r="N57" s="654" t="s">
        <v>233</v>
      </c>
      <c r="O57" s="654" t="s">
        <v>233</v>
      </c>
      <c r="P57" s="654" t="s">
        <v>233</v>
      </c>
      <c r="Q57" s="654"/>
      <c r="R57" s="654" t="s">
        <v>233</v>
      </c>
      <c r="S57" s="654" t="s">
        <v>233</v>
      </c>
      <c r="T57" s="654" t="s">
        <v>233</v>
      </c>
      <c r="U57" s="654" t="s">
        <v>233</v>
      </c>
      <c r="V57" s="654" t="s">
        <v>233</v>
      </c>
      <c r="W57" s="654" t="s">
        <v>233</v>
      </c>
      <c r="X57" s="654"/>
      <c r="Y57" s="654" t="s">
        <v>233</v>
      </c>
      <c r="Z57" s="654" t="s">
        <v>233</v>
      </c>
      <c r="AA57" s="654" t="s">
        <v>233</v>
      </c>
      <c r="AB57" s="654" t="s">
        <v>233</v>
      </c>
      <c r="AC57" s="654" t="s">
        <v>233</v>
      </c>
      <c r="AD57" s="654" t="s">
        <v>233</v>
      </c>
      <c r="AE57" s="654"/>
      <c r="AF57" s="654" t="s">
        <v>233</v>
      </c>
      <c r="AG57" s="654" t="s">
        <v>233</v>
      </c>
      <c r="AH57" s="654" t="s">
        <v>233</v>
      </c>
      <c r="AI57" s="654" t="s">
        <v>233</v>
      </c>
      <c r="AJ57" s="654" t="s">
        <v>233</v>
      </c>
      <c r="AK57" s="654" t="s">
        <v>233</v>
      </c>
      <c r="AL57" s="654"/>
      <c r="AM57" s="654" t="s">
        <v>233</v>
      </c>
      <c r="AN57" s="654" t="s">
        <v>233</v>
      </c>
      <c r="AO57" s="654" t="s">
        <v>233</v>
      </c>
      <c r="AP57" s="655" t="s">
        <v>233</v>
      </c>
      <c r="AQ57" s="654" t="s">
        <v>233</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#N/A</v>
      </c>
      <c r="D58" s="188"/>
      <c r="E58" s="644" t="str">
        <f t="shared" si="10"/>
        <v>コピラ</v>
      </c>
      <c r="F58" s="645" t="str">
        <f t="shared" si="11"/>
        <v/>
      </c>
      <c r="G58" s="188"/>
      <c r="H58" s="188"/>
      <c r="I58" s="168" t="b">
        <v>0</v>
      </c>
      <c r="J58" s="624"/>
      <c r="K58" s="664" t="s">
        <v>495</v>
      </c>
      <c r="L58" s="647" t="s">
        <v>487</v>
      </c>
      <c r="M58" s="653"/>
      <c r="N58" s="654"/>
      <c r="O58" s="654" t="s">
        <v>233</v>
      </c>
      <c r="P58" s="654"/>
      <c r="Q58" s="654" t="s">
        <v>233</v>
      </c>
      <c r="R58" s="654"/>
      <c r="S58" s="654"/>
      <c r="T58" s="654" t="s">
        <v>233</v>
      </c>
      <c r="U58" s="654"/>
      <c r="V58" s="654" t="s">
        <v>233</v>
      </c>
      <c r="W58" s="654"/>
      <c r="X58" s="654" t="s">
        <v>233</v>
      </c>
      <c r="Y58" s="654"/>
      <c r="Z58" s="654"/>
      <c r="AA58" s="654" t="s">
        <v>233</v>
      </c>
      <c r="AB58" s="654"/>
      <c r="AC58" s="654" t="s">
        <v>233</v>
      </c>
      <c r="AD58" s="654"/>
      <c r="AE58" s="654" t="s">
        <v>233</v>
      </c>
      <c r="AF58" s="654"/>
      <c r="AG58" s="654"/>
      <c r="AH58" s="654" t="s">
        <v>233</v>
      </c>
      <c r="AI58" s="654"/>
      <c r="AJ58" s="654" t="s">
        <v>233</v>
      </c>
      <c r="AK58" s="654"/>
      <c r="AL58" s="654" t="s">
        <v>233</v>
      </c>
      <c r="AM58" s="654"/>
      <c r="AN58" s="654"/>
      <c r="AO58" s="654" t="s">
        <v>233</v>
      </c>
      <c r="AP58" s="655"/>
      <c r="AQ58" s="654" t="s">
        <v>233</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#N/A</v>
      </c>
      <c r="D59" s="188"/>
      <c r="E59" s="644" t="str">
        <f t="shared" si="10"/>
        <v>バワニ</v>
      </c>
      <c r="F59" s="645" t="str">
        <f t="shared" si="11"/>
        <v>〇</v>
      </c>
      <c r="G59" s="188"/>
      <c r="H59" s="188"/>
      <c r="I59" s="168" t="b">
        <v>0</v>
      </c>
      <c r="J59" s="624"/>
      <c r="K59" s="664" t="s">
        <v>496</v>
      </c>
      <c r="L59" s="647" t="s">
        <v>487</v>
      </c>
      <c r="M59" s="653"/>
      <c r="N59" s="654" t="s">
        <v>233</v>
      </c>
      <c r="O59" s="654" t="s">
        <v>233</v>
      </c>
      <c r="P59" s="654" t="s">
        <v>233</v>
      </c>
      <c r="Q59" s="654"/>
      <c r="R59" s="654"/>
      <c r="S59" s="654" t="s">
        <v>233</v>
      </c>
      <c r="T59" s="654"/>
      <c r="U59" s="654" t="s">
        <v>233</v>
      </c>
      <c r="V59" s="654" t="s">
        <v>233</v>
      </c>
      <c r="W59" s="654" t="s">
        <v>233</v>
      </c>
      <c r="X59" s="654"/>
      <c r="Y59" s="654"/>
      <c r="Z59" s="654"/>
      <c r="AA59" s="654" t="s">
        <v>233</v>
      </c>
      <c r="AB59" s="654" t="s">
        <v>233</v>
      </c>
      <c r="AC59" s="654" t="s">
        <v>233</v>
      </c>
      <c r="AD59" s="654" t="s">
        <v>233</v>
      </c>
      <c r="AE59" s="654"/>
      <c r="AF59" s="654"/>
      <c r="AG59" s="654"/>
      <c r="AH59" s="654" t="s">
        <v>233</v>
      </c>
      <c r="AI59" s="654" t="s">
        <v>233</v>
      </c>
      <c r="AJ59" s="654" t="s">
        <v>233</v>
      </c>
      <c r="AK59" s="654" t="s">
        <v>233</v>
      </c>
      <c r="AL59" s="654"/>
      <c r="AM59" s="654"/>
      <c r="AN59" s="654"/>
      <c r="AO59" s="654" t="s">
        <v>233</v>
      </c>
      <c r="AP59" s="655" t="s">
        <v>233</v>
      </c>
      <c r="AQ59" s="654" t="s">
        <v>233</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#N/A</v>
      </c>
      <c r="D60" s="188"/>
      <c r="E60" s="644" t="str">
        <f t="shared" si="10"/>
        <v>サンジュ</v>
      </c>
      <c r="F60" s="645" t="str">
        <f t="shared" si="11"/>
        <v>〇</v>
      </c>
      <c r="G60" s="188"/>
      <c r="H60" s="188"/>
      <c r="I60" s="168" t="b">
        <v>0</v>
      </c>
      <c r="J60" s="624"/>
      <c r="K60" s="664" t="s">
        <v>497</v>
      </c>
      <c r="L60" s="647" t="s">
        <v>487</v>
      </c>
      <c r="M60" s="653"/>
      <c r="N60" s="654" t="s">
        <v>233</v>
      </c>
      <c r="O60" s="654"/>
      <c r="P60" s="654" t="s">
        <v>233</v>
      </c>
      <c r="Q60" s="654" t="s">
        <v>233</v>
      </c>
      <c r="R60" s="654" t="s">
        <v>233</v>
      </c>
      <c r="S60" s="654" t="s">
        <v>233</v>
      </c>
      <c r="T60" s="654" t="s">
        <v>233</v>
      </c>
      <c r="U60" s="654" t="s">
        <v>233</v>
      </c>
      <c r="V60" s="654"/>
      <c r="W60" s="654" t="s">
        <v>233</v>
      </c>
      <c r="X60" s="654" t="s">
        <v>233</v>
      </c>
      <c r="Y60" s="654" t="s">
        <v>233</v>
      </c>
      <c r="Z60" s="654" t="s">
        <v>233</v>
      </c>
      <c r="AA60" s="654" t="s">
        <v>233</v>
      </c>
      <c r="AB60" s="654" t="s">
        <v>233</v>
      </c>
      <c r="AC60" s="654"/>
      <c r="AD60" s="654" t="s">
        <v>233</v>
      </c>
      <c r="AE60" s="654" t="s">
        <v>233</v>
      </c>
      <c r="AF60" s="654" t="s">
        <v>233</v>
      </c>
      <c r="AG60" s="654" t="s">
        <v>233</v>
      </c>
      <c r="AH60" s="654" t="s">
        <v>233</v>
      </c>
      <c r="AI60" s="654" t="s">
        <v>233</v>
      </c>
      <c r="AJ60" s="654"/>
      <c r="AK60" s="654" t="s">
        <v>233</v>
      </c>
      <c r="AL60" s="654" t="s">
        <v>233</v>
      </c>
      <c r="AM60" s="654" t="s">
        <v>233</v>
      </c>
      <c r="AN60" s="654" t="s">
        <v>233</v>
      </c>
      <c r="AO60" s="654" t="s">
        <v>233</v>
      </c>
      <c r="AP60" s="655" t="s">
        <v>233</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#N/A</v>
      </c>
      <c r="D61" s="188"/>
      <c r="E61" s="644" t="str">
        <f t="shared" si="10"/>
        <v>サンジタ</v>
      </c>
      <c r="F61" s="645" t="str">
        <f t="shared" si="11"/>
        <v/>
      </c>
      <c r="G61" s="188"/>
      <c r="H61" s="188"/>
      <c r="I61" s="168" t="b">
        <v>0</v>
      </c>
      <c r="J61" s="624"/>
      <c r="K61" s="664" t="s">
        <v>498</v>
      </c>
      <c r="L61" s="647" t="s">
        <v>487</v>
      </c>
      <c r="M61" s="653"/>
      <c r="N61" s="654"/>
      <c r="O61" s="654" t="s">
        <v>233</v>
      </c>
      <c r="P61" s="654" t="s">
        <v>233</v>
      </c>
      <c r="Q61" s="654" t="s">
        <v>233</v>
      </c>
      <c r="R61" s="654"/>
      <c r="S61" s="654" t="s">
        <v>233</v>
      </c>
      <c r="T61" s="654" t="s">
        <v>233</v>
      </c>
      <c r="U61" s="654"/>
      <c r="V61" s="654" t="s">
        <v>233</v>
      </c>
      <c r="W61" s="654" t="s">
        <v>233</v>
      </c>
      <c r="X61" s="654" t="s">
        <v>233</v>
      </c>
      <c r="Y61" s="654"/>
      <c r="Z61" s="654" t="s">
        <v>233</v>
      </c>
      <c r="AA61" s="654" t="s">
        <v>233</v>
      </c>
      <c r="AB61" s="654"/>
      <c r="AC61" s="654" t="s">
        <v>233</v>
      </c>
      <c r="AD61" s="654" t="s">
        <v>233</v>
      </c>
      <c r="AE61" s="654" t="s">
        <v>233</v>
      </c>
      <c r="AF61" s="654"/>
      <c r="AG61" s="654" t="s">
        <v>233</v>
      </c>
      <c r="AH61" s="654" t="s">
        <v>233</v>
      </c>
      <c r="AI61" s="654"/>
      <c r="AJ61" s="654" t="s">
        <v>233</v>
      </c>
      <c r="AK61" s="654" t="s">
        <v>233</v>
      </c>
      <c r="AL61" s="654" t="s">
        <v>233</v>
      </c>
      <c r="AM61" s="654"/>
      <c r="AN61" s="654" t="s">
        <v>233</v>
      </c>
      <c r="AO61" s="654" t="s">
        <v>233</v>
      </c>
      <c r="AP61" s="655"/>
      <c r="AQ61" s="654" t="s">
        <v>233</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#N/A</v>
      </c>
      <c r="D62" s="188"/>
      <c r="E62" s="644" t="str">
        <f t="shared" si="10"/>
        <v>カマラ</v>
      </c>
      <c r="F62" s="645" t="str">
        <f t="shared" si="11"/>
        <v>〇</v>
      </c>
      <c r="G62" s="188"/>
      <c r="H62" s="188"/>
      <c r="I62" s="168" t="b">
        <v>0</v>
      </c>
      <c r="J62" s="624"/>
      <c r="K62" s="664" t="s">
        <v>499</v>
      </c>
      <c r="L62" s="647" t="s">
        <v>487</v>
      </c>
      <c r="M62" s="653"/>
      <c r="N62" s="654" t="s">
        <v>233</v>
      </c>
      <c r="O62" s="654" t="s">
        <v>233</v>
      </c>
      <c r="P62" s="654"/>
      <c r="Q62" s="654" t="s">
        <v>233</v>
      </c>
      <c r="R62" s="654" t="s">
        <v>233</v>
      </c>
      <c r="S62" s="654" t="s">
        <v>233</v>
      </c>
      <c r="T62" s="654" t="s">
        <v>233</v>
      </c>
      <c r="U62" s="654" t="s">
        <v>233</v>
      </c>
      <c r="V62" s="654" t="s">
        <v>233</v>
      </c>
      <c r="W62" s="654"/>
      <c r="X62" s="654" t="s">
        <v>233</v>
      </c>
      <c r="Y62" s="654" t="s">
        <v>233</v>
      </c>
      <c r="Z62" s="654" t="s">
        <v>233</v>
      </c>
      <c r="AA62" s="654" t="s">
        <v>233</v>
      </c>
      <c r="AB62" s="654" t="s">
        <v>233</v>
      </c>
      <c r="AC62" s="654" t="s">
        <v>233</v>
      </c>
      <c r="AD62" s="654"/>
      <c r="AE62" s="654" t="s">
        <v>233</v>
      </c>
      <c r="AF62" s="654" t="s">
        <v>233</v>
      </c>
      <c r="AG62" s="654" t="s">
        <v>233</v>
      </c>
      <c r="AH62" s="654" t="s">
        <v>233</v>
      </c>
      <c r="AI62" s="654" t="s">
        <v>233</v>
      </c>
      <c r="AJ62" s="654" t="s">
        <v>233</v>
      </c>
      <c r="AK62" s="654"/>
      <c r="AL62" s="654" t="s">
        <v>233</v>
      </c>
      <c r="AM62" s="654" t="s">
        <v>233</v>
      </c>
      <c r="AN62" s="654" t="s">
        <v>233</v>
      </c>
      <c r="AO62" s="654" t="s">
        <v>233</v>
      </c>
      <c r="AP62" s="655" t="s">
        <v>233</v>
      </c>
      <c r="AQ62" s="654" t="s">
        <v>233</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#N/A</v>
      </c>
      <c r="D63" s="188"/>
      <c r="E63" s="644" t="str">
        <f t="shared" si="10"/>
        <v>サンティ</v>
      </c>
      <c r="F63" s="645" t="str">
        <f t="shared" si="11"/>
        <v/>
      </c>
      <c r="G63" s="188"/>
      <c r="H63" s="188"/>
      <c r="I63" s="168" t="b">
        <v>0</v>
      </c>
      <c r="J63" s="624"/>
      <c r="K63" s="664" t="s">
        <v>137</v>
      </c>
      <c r="L63" s="647" t="s">
        <v>487</v>
      </c>
      <c r="M63" s="653"/>
      <c r="N63" s="654"/>
      <c r="O63" s="654" t="s">
        <v>233</v>
      </c>
      <c r="P63" s="654" t="s">
        <v>233</v>
      </c>
      <c r="Q63" s="654" t="s">
        <v>233</v>
      </c>
      <c r="R63" s="654" t="s">
        <v>233</v>
      </c>
      <c r="S63" s="654"/>
      <c r="T63" s="654"/>
      <c r="U63" s="654"/>
      <c r="V63" s="654" t="s">
        <v>233</v>
      </c>
      <c r="W63" s="654" t="s">
        <v>233</v>
      </c>
      <c r="X63" s="654" t="s">
        <v>233</v>
      </c>
      <c r="Y63" s="654" t="s">
        <v>233</v>
      </c>
      <c r="Z63" s="654"/>
      <c r="AA63" s="654"/>
      <c r="AB63" s="654"/>
      <c r="AC63" s="654" t="s">
        <v>233</v>
      </c>
      <c r="AD63" s="654" t="s">
        <v>233</v>
      </c>
      <c r="AE63" s="654" t="s">
        <v>233</v>
      </c>
      <c r="AF63" s="654" t="s">
        <v>233</v>
      </c>
      <c r="AG63" s="654"/>
      <c r="AH63" s="654"/>
      <c r="AI63" s="654"/>
      <c r="AJ63" s="654" t="s">
        <v>233</v>
      </c>
      <c r="AK63" s="654" t="s">
        <v>233</v>
      </c>
      <c r="AL63" s="654" t="s">
        <v>233</v>
      </c>
      <c r="AM63" s="654" t="s">
        <v>233</v>
      </c>
      <c r="AN63" s="654"/>
      <c r="AO63" s="654"/>
      <c r="AP63" s="655"/>
      <c r="AQ63" s="654" t="s">
        <v>233</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#N/A</v>
      </c>
      <c r="D64" s="188"/>
      <c r="E64" s="644" t="str">
        <f t="shared" si="10"/>
        <v>アディカリ</v>
      </c>
      <c r="F64" s="645" t="str">
        <f t="shared" si="11"/>
        <v>〇</v>
      </c>
      <c r="G64" s="188"/>
      <c r="H64" s="188"/>
      <c r="I64" s="168" t="b">
        <v>0</v>
      </c>
      <c r="J64" s="624"/>
      <c r="K64" s="662" t="s">
        <v>201</v>
      </c>
      <c r="L64" s="647" t="s">
        <v>500</v>
      </c>
      <c r="M64" s="653"/>
      <c r="N64" s="654" t="s">
        <v>233</v>
      </c>
      <c r="O64" s="654" t="s">
        <v>233</v>
      </c>
      <c r="P64" s="654"/>
      <c r="Q64" s="654"/>
      <c r="R64" s="654"/>
      <c r="S64" s="654" t="s">
        <v>233</v>
      </c>
      <c r="T64" s="654" t="s">
        <v>233</v>
      </c>
      <c r="U64" s="654" t="s">
        <v>233</v>
      </c>
      <c r="V64" s="654" t="s">
        <v>233</v>
      </c>
      <c r="W64" s="654"/>
      <c r="X64" s="654"/>
      <c r="Y64" s="654"/>
      <c r="Z64" s="654" t="s">
        <v>233</v>
      </c>
      <c r="AA64" s="654" t="s">
        <v>233</v>
      </c>
      <c r="AB64" s="654" t="s">
        <v>233</v>
      </c>
      <c r="AC64" s="654" t="s">
        <v>233</v>
      </c>
      <c r="AD64" s="654"/>
      <c r="AE64" s="654"/>
      <c r="AF64" s="654"/>
      <c r="AG64" s="654" t="s">
        <v>233</v>
      </c>
      <c r="AH64" s="654" t="s">
        <v>233</v>
      </c>
      <c r="AI64" s="654" t="s">
        <v>233</v>
      </c>
      <c r="AJ64" s="654" t="s">
        <v>233</v>
      </c>
      <c r="AK64" s="654"/>
      <c r="AL64" s="654"/>
      <c r="AM64" s="654"/>
      <c r="AN64" s="654" t="s">
        <v>233</v>
      </c>
      <c r="AO64" s="654" t="s">
        <v>233</v>
      </c>
      <c r="AP64" s="655" t="s">
        <v>233</v>
      </c>
      <c r="AQ64" s="654" t="s">
        <v>233</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500</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501</v>
      </c>
      <c r="L66" s="647" t="s">
        <v>500</v>
      </c>
      <c r="M66" s="653"/>
      <c r="N66" s="654"/>
      <c r="O66" s="654"/>
      <c r="P66" s="654" t="s">
        <v>427</v>
      </c>
      <c r="Q66" s="654"/>
      <c r="R66" s="654"/>
      <c r="S66" s="654" t="s">
        <v>427</v>
      </c>
      <c r="T66" s="654" t="s">
        <v>427</v>
      </c>
      <c r="U66" s="654"/>
      <c r="V66" s="654"/>
      <c r="W66" s="654" t="s">
        <v>427</v>
      </c>
      <c r="X66" s="654"/>
      <c r="Y66" s="654"/>
      <c r="Z66" s="654" t="s">
        <v>427</v>
      </c>
      <c r="AA66" s="654" t="s">
        <v>427</v>
      </c>
      <c r="AB66" s="654"/>
      <c r="AC66" s="654"/>
      <c r="AD66" s="654" t="s">
        <v>427</v>
      </c>
      <c r="AE66" s="654"/>
      <c r="AF66" s="654"/>
      <c r="AG66" s="654" t="s">
        <v>427</v>
      </c>
      <c r="AH66" s="654" t="s">
        <v>427</v>
      </c>
      <c r="AI66" s="654"/>
      <c r="AJ66" s="654"/>
      <c r="AK66" s="654" t="s">
        <v>427</v>
      </c>
      <c r="AL66" s="654"/>
      <c r="AM66" s="654"/>
      <c r="AN66" s="654" t="s">
        <v>427</v>
      </c>
      <c r="AO66" s="654" t="s">
        <v>427</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502</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#N/A</v>
      </c>
      <c r="D67" s="188"/>
      <c r="E67" s="644" t="str">
        <f t="shared" ref="E67:E107" si="20">K67</f>
        <v>アルチャナ</v>
      </c>
      <c r="F67" s="645" t="str">
        <f t="shared" ref="F67:F106" si="21">if(E67="","", xlookup($E$7,$N$7:$AR$7,$N67:$AR67))</f>
        <v/>
      </c>
      <c r="G67" s="188"/>
      <c r="H67" s="188"/>
      <c r="I67" s="168" t="b">
        <v>0</v>
      </c>
      <c r="J67" s="624"/>
      <c r="K67" s="664" t="s">
        <v>503</v>
      </c>
      <c r="L67" s="647" t="s">
        <v>500</v>
      </c>
      <c r="M67" s="653"/>
      <c r="N67" s="654"/>
      <c r="O67" s="654" t="s">
        <v>427</v>
      </c>
      <c r="P67" s="654"/>
      <c r="Q67" s="654" t="s">
        <v>427</v>
      </c>
      <c r="R67" s="654"/>
      <c r="S67" s="654"/>
      <c r="T67" s="654"/>
      <c r="U67" s="654"/>
      <c r="V67" s="654" t="s">
        <v>427</v>
      </c>
      <c r="W67" s="654"/>
      <c r="X67" s="654" t="s">
        <v>427</v>
      </c>
      <c r="Y67" s="654"/>
      <c r="Z67" s="654"/>
      <c r="AA67" s="654"/>
      <c r="AB67" s="654"/>
      <c r="AC67" s="654" t="s">
        <v>427</v>
      </c>
      <c r="AD67" s="654"/>
      <c r="AE67" s="654" t="s">
        <v>427</v>
      </c>
      <c r="AF67" s="654"/>
      <c r="AG67" s="654"/>
      <c r="AH67" s="654"/>
      <c r="AI67" s="654"/>
      <c r="AJ67" s="654" t="s">
        <v>427</v>
      </c>
      <c r="AK67" s="654"/>
      <c r="AL67" s="654" t="s">
        <v>427</v>
      </c>
      <c r="AM67" s="654"/>
      <c r="AN67" s="654"/>
      <c r="AO67" s="654"/>
      <c r="AP67" s="655"/>
      <c r="AQ67" s="654" t="s">
        <v>427</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500</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504</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681"/>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46113.0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4</v>
      </c>
      <c r="W7" s="717"/>
      <c r="X7" s="708" t="s">
        <v>525</v>
      </c>
      <c r="Y7" s="675"/>
      <c r="Z7" s="675"/>
    </row>
    <row r="8" ht="17.25" customHeight="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#N/A</v>
      </c>
      <c r="W8" s="729"/>
      <c r="X8" s="730">
        <v>46054.0</v>
      </c>
      <c r="Y8" s="675"/>
      <c r="Z8" s="675"/>
    </row>
    <row r="9" outlineLevel="1">
      <c r="A9" s="675"/>
      <c r="B9" s="731"/>
      <c r="C9" s="732">
        <f>D5</f>
        <v>46113</v>
      </c>
      <c r="D9" s="733" t="str">
        <f>TEXT(C9,"ddd")</f>
        <v>水</v>
      </c>
      <c r="E9" s="734"/>
      <c r="F9" s="735" t="s">
        <v>527</v>
      </c>
      <c r="G9" s="736"/>
      <c r="H9" s="737"/>
      <c r="I9" s="738">
        <v>0.0</v>
      </c>
      <c r="J9" s="733"/>
      <c r="K9" s="733"/>
      <c r="L9" s="739"/>
      <c r="M9" s="739"/>
      <c r="N9" s="737"/>
      <c r="O9" s="740"/>
      <c r="Q9" s="741"/>
      <c r="R9" s="677"/>
      <c r="S9" s="216" t="str">
        <f t="array" ref="S9">IFERROR(INDEX('💻シート作成'!$D$6:$D1001, MATCH(T9, '💻シート作成'!$E$6:$E1001, 0)), "")</f>
        <v/>
      </c>
      <c r="T9" s="167" t="str">
        <f>IFERROR(__xludf.DUMMYFUNCTION("""COMPUTED_VALUE"""),"🔵クレーム")</f>
        <v>🔵クレーム</v>
      </c>
      <c r="U9" s="683"/>
      <c r="V9" s="728"/>
      <c r="W9" s="729"/>
      <c r="X9" s="730">
        <v>46082.0</v>
      </c>
      <c r="Y9" s="675"/>
      <c r="Z9" s="675"/>
    </row>
    <row r="10"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728"/>
      <c r="W10" s="729"/>
      <c r="X10" s="730">
        <v>46113.0</v>
      </c>
      <c r="Y10" s="675"/>
      <c r="Z10" s="675"/>
    </row>
    <row r="1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728"/>
      <c r="W11" s="729"/>
      <c r="X11" s="730">
        <v>46143.0</v>
      </c>
      <c r="Y11" s="675"/>
      <c r="Z11" s="675"/>
    </row>
    <row r="12"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728"/>
      <c r="W12" s="729"/>
      <c r="X12" s="730">
        <v>46174.0</v>
      </c>
      <c r="Y12" s="675"/>
      <c r="Z12" s="675"/>
    </row>
    <row r="13"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728"/>
      <c r="W13" s="729"/>
      <c r="X13" s="730">
        <v>46204.0</v>
      </c>
      <c r="Y13" s="675"/>
      <c r="Z13" s="675"/>
    </row>
    <row r="14"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728"/>
      <c r="W14" s="729"/>
      <c r="X14" s="730">
        <v>46235.0</v>
      </c>
      <c r="Y14" s="675"/>
      <c r="Z14" s="675"/>
    </row>
    <row r="15"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728"/>
      <c r="W15" s="729"/>
      <c r="X15" s="730">
        <v>46266.0</v>
      </c>
      <c r="Y15" s="675"/>
      <c r="Z15" s="675"/>
    </row>
    <row r="16"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728"/>
      <c r="W16" s="729"/>
      <c r="X16" s="730">
        <v>46296.0</v>
      </c>
      <c r="Y16" s="675"/>
      <c r="Z16" s="675"/>
    </row>
    <row r="17"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728"/>
      <c r="W17" s="729"/>
      <c r="X17" s="730">
        <v>46327.0</v>
      </c>
      <c r="Y17" s="675"/>
      <c r="Z17" s="675"/>
    </row>
    <row r="18"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728"/>
      <c r="W18" s="729"/>
      <c r="X18" s="730">
        <v>46357.0</v>
      </c>
      <c r="Y18" s="675"/>
      <c r="Z18" s="675"/>
    </row>
    <row r="19"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728"/>
      <c r="W19" s="729"/>
      <c r="X19" s="730">
        <v>46388.0</v>
      </c>
      <c r="Y19" s="675"/>
      <c r="Z19" s="675"/>
    </row>
    <row r="20" outlineLevel="1">
      <c r="A20" s="675"/>
      <c r="B20" s="756"/>
      <c r="C20" s="757">
        <f>IF(C9="","",IF(DAY(C9+1)=1,"",C9+1))</f>
        <v>46114</v>
      </c>
      <c r="D20" s="758" t="str">
        <f>TEXT(C20,"ddd")</f>
        <v>木</v>
      </c>
      <c r="E20" s="759"/>
      <c r="F20" s="760" t="s">
        <v>527</v>
      </c>
      <c r="G20" s="761"/>
      <c r="H20" s="762"/>
      <c r="I20" s="763">
        <v>0.0</v>
      </c>
      <c r="J20" s="764"/>
      <c r="K20" s="764"/>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728"/>
      <c r="W20" s="729"/>
      <c r="X20" s="730"/>
      <c r="Y20" s="675"/>
      <c r="Z20" s="675"/>
    </row>
    <row r="2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728"/>
      <c r="W21" s="729"/>
      <c r="X21" s="730"/>
      <c r="Y21" s="675"/>
      <c r="Z21" s="675"/>
    </row>
    <row r="22"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728"/>
      <c r="W22" s="729"/>
      <c r="X22" s="730"/>
      <c r="Y22" s="675"/>
      <c r="Z22" s="675"/>
    </row>
    <row r="23"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728"/>
      <c r="W23" s="675"/>
      <c r="X23" s="770"/>
      <c r="Y23" s="675"/>
      <c r="Z23" s="675"/>
    </row>
    <row r="24"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728"/>
      <c r="W24" s="675"/>
      <c r="X24" s="770"/>
      <c r="Y24" s="675"/>
      <c r="Z24" s="675"/>
    </row>
    <row r="25"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728"/>
      <c r="W25" s="675"/>
      <c r="X25" s="770"/>
      <c r="Y25" s="675"/>
      <c r="Z25" s="675"/>
    </row>
    <row r="26"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728"/>
      <c r="W26" s="675"/>
      <c r="X26" s="770"/>
      <c r="Y26" s="675"/>
      <c r="Z26" s="675"/>
    </row>
    <row r="27"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728"/>
      <c r="W27" s="675"/>
      <c r="X27" s="770"/>
      <c r="Y27" s="675"/>
      <c r="Z27" s="675"/>
    </row>
    <row r="28"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728"/>
      <c r="W28" s="675"/>
      <c r="X28" s="770"/>
      <c r="Y28" s="675"/>
      <c r="Z28" s="675"/>
    </row>
    <row r="29"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728"/>
      <c r="W29" s="675"/>
      <c r="X29" s="770"/>
      <c r="Y29" s="675"/>
      <c r="Z29" s="675"/>
    </row>
    <row r="30"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8"/>
      <c r="W30" s="675"/>
      <c r="X30" s="770"/>
      <c r="Y30" s="675"/>
      <c r="Z30" s="675"/>
    </row>
    <row r="31" outlineLevel="1">
      <c r="A31" s="675"/>
      <c r="B31" s="774"/>
      <c r="C31" s="775">
        <f>IF(C20="","",IF(DAY(C20+1)=1,"",C20+1))</f>
        <v>46115</v>
      </c>
      <c r="D31" s="776" t="str">
        <f>TEXT(C31,"ddd")</f>
        <v>金</v>
      </c>
      <c r="E31" s="777"/>
      <c r="F31" s="778" t="s">
        <v>527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8"/>
      <c r="W31" s="675"/>
      <c r="X31" s="770"/>
      <c r="Y31" s="675"/>
      <c r="Z31" s="675"/>
    </row>
    <row r="32"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728"/>
      <c r="W32" s="675"/>
      <c r="X32" s="770"/>
      <c r="Y32" s="675"/>
      <c r="Z32" s="675"/>
    </row>
    <row r="33"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728"/>
      <c r="W33" s="675"/>
      <c r="X33" s="770"/>
      <c r="Y33" s="675"/>
      <c r="Z33" s="675"/>
    </row>
    <row r="34"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728"/>
      <c r="W34" s="675"/>
      <c r="X34" s="770"/>
      <c r="Y34" s="675"/>
      <c r="Z34" s="675"/>
    </row>
    <row r="35"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728"/>
      <c r="W35" s="675"/>
      <c r="X35" s="770"/>
      <c r="Y35" s="675"/>
      <c r="Z35" s="675"/>
    </row>
    <row r="36"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728"/>
      <c r="W36" s="675"/>
      <c r="X36" s="770"/>
      <c r="Y36" s="675"/>
      <c r="Z36" s="675"/>
    </row>
    <row r="37"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728"/>
      <c r="W37" s="675"/>
      <c r="X37" s="770"/>
      <c r="Y37" s="675"/>
      <c r="Z37" s="675"/>
    </row>
    <row r="38"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728"/>
      <c r="W38" s="675"/>
      <c r="X38" s="770"/>
      <c r="Y38" s="675"/>
      <c r="Z38" s="675"/>
    </row>
    <row r="39"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728"/>
      <c r="W39" s="675"/>
      <c r="X39" s="770"/>
      <c r="Y39" s="675"/>
      <c r="Z39" s="675"/>
    </row>
    <row r="40"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c r="W40" s="675"/>
      <c r="X40" s="770"/>
      <c r="Y40" s="675"/>
      <c r="Z40" s="675"/>
    </row>
    <row r="4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c r="W41" s="675"/>
      <c r="X41" s="770"/>
      <c r="Y41" s="675"/>
      <c r="Z41" s="675"/>
    </row>
    <row r="42" outlineLevel="1">
      <c r="A42" s="675"/>
      <c r="B42" s="756"/>
      <c r="C42" s="757">
        <f>IF(C31="","",IF(DAY(C31+1)=1,"",C31+1))</f>
        <v>46116</v>
      </c>
      <c r="D42" s="758" t="str">
        <f>TEXT(C42,"ddd")</f>
        <v>土</v>
      </c>
      <c r="E42" s="759"/>
      <c r="F42" s="787" t="s">
        <v>527</v>
      </c>
      <c r="G42" s="788"/>
      <c r="H42" s="789"/>
      <c r="I42" s="790">
        <v>0.0</v>
      </c>
      <c r="J42" s="758"/>
      <c r="K42" s="758"/>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outlineLevel="1">
      <c r="A53" s="675"/>
      <c r="B53" s="774"/>
      <c r="C53" s="775">
        <f>IF(C42="","",IF(DAY(C42+1)=1,"",C42+1))</f>
        <v>46117</v>
      </c>
      <c r="D53" s="776" t="str">
        <f>TEXT(C53,"ddd")</f>
        <v>日</v>
      </c>
      <c r="E53" s="777"/>
      <c r="F53" s="778" t="s">
        <v>527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idden="1" outlineLevel="1">
      <c r="A65" s="675"/>
      <c r="B65" s="756"/>
      <c r="C65" s="757">
        <f>IF(C53="","",IF(DAY(C53+1)=1,"",C53+1))</f>
        <v>46118</v>
      </c>
      <c r="D65" s="758" t="str">
        <f>TEXT(C65,"ddd")</f>
        <v>月</v>
      </c>
      <c r="E65" s="759"/>
      <c r="F65" s="787" t="s">
        <v>527</v>
      </c>
      <c r="G65" s="788"/>
      <c r="H65" s="789"/>
      <c r="I65" s="790">
        <v>0.0</v>
      </c>
      <c r="J65" s="758"/>
      <c r="K65" s="758"/>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idden="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idden="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idden="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idden="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idden="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idden="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idden="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idden="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idden="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idden="1"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46119</v>
      </c>
      <c r="D76" s="776" t="str">
        <f>TEXT(C76,"ddd")</f>
        <v>火</v>
      </c>
      <c r="E76" s="777"/>
      <c r="F76" s="778" t="s">
        <v>527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idden="1"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46120</v>
      </c>
      <c r="D87" s="758" t="str">
        <f>TEXT(C87,"ddd")</f>
        <v>水</v>
      </c>
      <c r="E87" s="759"/>
      <c r="F87" s="787" t="s">
        <v>527</v>
      </c>
      <c r="G87" s="788"/>
      <c r="H87" s="789"/>
      <c r="I87" s="790">
        <v>0.0</v>
      </c>
      <c r="J87" s="758"/>
      <c r="K87" s="758"/>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idden="1"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46121</v>
      </c>
      <c r="D98" s="776" t="str">
        <f>TEXT(C98,"ddd")</f>
        <v>木</v>
      </c>
      <c r="E98" s="777"/>
      <c r="F98" s="778" t="s">
        <v>527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46122</v>
      </c>
      <c r="D109" s="758" t="str">
        <f>TEXT(C109,"ddd")</f>
        <v>金</v>
      </c>
      <c r="E109" s="759"/>
      <c r="F109" s="787" t="s">
        <v>527</v>
      </c>
      <c r="G109" s="788"/>
      <c r="H109" s="789"/>
      <c r="I109" s="790">
        <v>0.0</v>
      </c>
      <c r="J109" s="758"/>
      <c r="K109" s="758"/>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idden="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idden="1"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ollapsed="1">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idden="1" outlineLevel="1">
      <c r="A121" s="675"/>
      <c r="B121" s="774"/>
      <c r="C121" s="775">
        <f>IF(C109="","",IF(DAY(C109+1)=1,"",C109+1))</f>
        <v>46123</v>
      </c>
      <c r="D121" s="776" t="str">
        <f>TEXT(C121,"ddd")</f>
        <v>土</v>
      </c>
      <c r="E121" s="777"/>
      <c r="F121" s="778" t="s">
        <v>527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idden="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idden="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idden="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idden="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idden="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idden="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idden="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idden="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idden="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hidden="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hidden="1" outlineLevel="1">
      <c r="A132" s="675"/>
      <c r="B132" s="756"/>
      <c r="C132" s="757">
        <f>IF(C121="","",IF(DAY(C121+1)=1,"",C121+1))</f>
        <v>46124</v>
      </c>
      <c r="D132" s="758" t="str">
        <f>TEXT(C132,"ddd")</f>
        <v>日</v>
      </c>
      <c r="E132" s="759"/>
      <c r="F132" s="787" t="s">
        <v>527</v>
      </c>
      <c r="G132" s="788"/>
      <c r="H132" s="789"/>
      <c r="I132" s="790">
        <v>0.0</v>
      </c>
      <c r="J132" s="758"/>
      <c r="K132" s="758"/>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hidden="1"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hidden="1"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hidden="1"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hidden="1"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hidden="1"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hidden="1"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hidden="1"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hidden="1"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hidden="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idden="1"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idden="1" outlineLevel="1">
      <c r="A143" s="675"/>
      <c r="B143" s="774"/>
      <c r="C143" s="775">
        <f>IF(C132="","",IF(DAY(C132+1)=1,"",C132+1))</f>
        <v>46125</v>
      </c>
      <c r="D143" s="776" t="str">
        <f>TEXT(C143,"ddd")</f>
        <v>月</v>
      </c>
      <c r="E143" s="777"/>
      <c r="F143" s="778" t="s">
        <v>527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idden="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idden="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idden="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idden="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idden="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idden="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idden="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idden="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idden="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hidden="1"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idden="1" outlineLevel="1">
      <c r="A154" s="675"/>
      <c r="B154" s="756"/>
      <c r="C154" s="757">
        <f>IF(C143="","",IF(DAY(C143+1)=1,"",C143+1))</f>
        <v>46126</v>
      </c>
      <c r="D154" s="758" t="str">
        <f>TEXT(C154,"ddd")</f>
        <v>火</v>
      </c>
      <c r="E154" s="759"/>
      <c r="F154" s="787" t="s">
        <v>527</v>
      </c>
      <c r="G154" s="788"/>
      <c r="H154" s="789"/>
      <c r="I154" s="790">
        <v>0.0</v>
      </c>
      <c r="J154" s="758"/>
      <c r="K154" s="758"/>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idden="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idden="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idden="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idden="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idden="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idden="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idden="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idden="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idden="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hidden="1"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idden="1" outlineLevel="1">
      <c r="A165" s="675"/>
      <c r="B165" s="774"/>
      <c r="C165" s="775">
        <f>IF(C154="","",IF(DAY(C154+1)=1,"",C154+1))</f>
        <v>46127</v>
      </c>
      <c r="D165" s="776" t="str">
        <f>TEXT(C165,"ddd")</f>
        <v>水</v>
      </c>
      <c r="E165" s="777"/>
      <c r="F165" s="778" t="s">
        <v>527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idden="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idden="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idden="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idden="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idden="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idden="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idden="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idden="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idden="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hidden="1"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ollapsed="1">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idden="1" outlineLevel="1">
      <c r="A177" s="675"/>
      <c r="B177" s="756"/>
      <c r="C177" s="757">
        <f>IF(C165="","",IF(DAY(C165+1)=1,"",C165+1))</f>
        <v>46128</v>
      </c>
      <c r="D177" s="758" t="str">
        <f>TEXT(C177,"ddd")</f>
        <v>木</v>
      </c>
      <c r="E177" s="759"/>
      <c r="F177" s="787" t="s">
        <v>527</v>
      </c>
      <c r="G177" s="788"/>
      <c r="H177" s="789"/>
      <c r="I177" s="790">
        <v>0.0</v>
      </c>
      <c r="J177" s="758"/>
      <c r="K177" s="758"/>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idden="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idden="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idden="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idden="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idden="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idden="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idden="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idden="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idden="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hidden="1"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idden="1" outlineLevel="1">
      <c r="A188" s="675"/>
      <c r="B188" s="774"/>
      <c r="C188" s="775">
        <f>IF(C177="","",IF(DAY(C177+1)=1,"",C177+1))</f>
        <v>46129</v>
      </c>
      <c r="D188" s="776" t="str">
        <f>TEXT(C188,"ddd")</f>
        <v>金</v>
      </c>
      <c r="E188" s="777"/>
      <c r="F188" s="778" t="s">
        <v>527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idden="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idden="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idden="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idden="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idden="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idden="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idden="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idden="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idden="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hidden="1"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idden="1" outlineLevel="1">
      <c r="A199" s="675"/>
      <c r="B199" s="756"/>
      <c r="C199" s="757">
        <f>IF(C188="","",IF(DAY(C188+1)=1,"",C188+1))</f>
        <v>46130</v>
      </c>
      <c r="D199" s="758" t="str">
        <f>TEXT(C199,"ddd")</f>
        <v>土</v>
      </c>
      <c r="E199" s="759"/>
      <c r="F199" s="787" t="s">
        <v>527</v>
      </c>
      <c r="G199" s="788"/>
      <c r="H199" s="789"/>
      <c r="I199" s="790">
        <v>0.0</v>
      </c>
      <c r="J199" s="758"/>
      <c r="K199" s="758"/>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idden="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idden="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idden="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idden="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idden="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idden="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idden="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idden="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idden="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hidden="1"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idden="1" outlineLevel="1">
      <c r="A210" s="675"/>
      <c r="B210" s="774"/>
      <c r="C210" s="775">
        <f>IF(C199="","",IF(DAY(C199+1)=1,"",C199+1))</f>
        <v>46131</v>
      </c>
      <c r="D210" s="776" t="str">
        <f>TEXT(C210,"ddd")</f>
        <v>日</v>
      </c>
      <c r="E210" s="777"/>
      <c r="F210" s="778" t="s">
        <v>527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idden="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idden="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idden="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idden="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idden="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idden="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idden="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idden="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idden="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hidden="1"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idden="1" outlineLevel="1">
      <c r="A221" s="675"/>
      <c r="B221" s="756"/>
      <c r="C221" s="757">
        <f>IF(C210="","",IF(DAY(C210+1)=1,"",C210+1))</f>
        <v>46132</v>
      </c>
      <c r="D221" s="758" t="str">
        <f>TEXT(C221,"ddd")</f>
        <v>月</v>
      </c>
      <c r="E221" s="759"/>
      <c r="F221" s="787" t="s">
        <v>527</v>
      </c>
      <c r="G221" s="788"/>
      <c r="H221" s="789"/>
      <c r="I221" s="790">
        <v>0.0</v>
      </c>
      <c r="J221" s="758"/>
      <c r="K221" s="758"/>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idden="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idden="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idden="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idden="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idden="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idden="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idden="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idden="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idden="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hidden="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ollapsed="1">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idden="1" outlineLevel="1">
      <c r="A233" s="675"/>
      <c r="B233" s="774"/>
      <c r="C233" s="775">
        <f>IF(C221="","",IF(DAY(C221+1)=1,"",C221+1))</f>
        <v>46133</v>
      </c>
      <c r="D233" s="776" t="str">
        <f>TEXT(C233,"ddd")</f>
        <v>火</v>
      </c>
      <c r="E233" s="777"/>
      <c r="F233" s="778" t="s">
        <v>527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idden="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idden="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idden="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idden="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idden="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idden="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idden="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idden="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idden="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hidden="1"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idden="1" outlineLevel="1">
      <c r="A244" s="675"/>
      <c r="B244" s="756"/>
      <c r="C244" s="757">
        <f>IF(C233="","",IF(DAY(C233+1)=1,"",C233+1))</f>
        <v>46134</v>
      </c>
      <c r="D244" s="758" t="str">
        <f>TEXT(C244,"ddd")</f>
        <v>水</v>
      </c>
      <c r="E244" s="759"/>
      <c r="F244" s="787" t="s">
        <v>527</v>
      </c>
      <c r="G244" s="788"/>
      <c r="H244" s="789"/>
      <c r="I244" s="790">
        <v>0.0</v>
      </c>
      <c r="J244" s="758"/>
      <c r="K244" s="758"/>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idden="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idden="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idden="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idden="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idden="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idden="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idden="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idden="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idden="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hidden="1"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idden="1" outlineLevel="1">
      <c r="A255" s="675"/>
      <c r="B255" s="774"/>
      <c r="C255" s="775">
        <f>IF(C244="","",IF(DAY(C244+1)=1,"",C244+1))</f>
        <v>46135</v>
      </c>
      <c r="D255" s="776" t="str">
        <f>TEXT(C255,"ddd")</f>
        <v>木</v>
      </c>
      <c r="E255" s="777"/>
      <c r="F255" s="778" t="s">
        <v>527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idden="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idden="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idden="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idden="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idden="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idden="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idden="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idden="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idden="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hidden="1"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idden="1" outlineLevel="1">
      <c r="A266" s="675"/>
      <c r="B266" s="756"/>
      <c r="C266" s="757">
        <f>IF(C255="","",IF(DAY(C255+1)=1,"",C255+1))</f>
        <v>46136</v>
      </c>
      <c r="D266" s="758" t="str">
        <f>TEXT(C266,"ddd")</f>
        <v>金</v>
      </c>
      <c r="E266" s="759"/>
      <c r="F266" s="787" t="s">
        <v>527</v>
      </c>
      <c r="G266" s="788"/>
      <c r="H266" s="789"/>
      <c r="I266" s="790">
        <v>0.0</v>
      </c>
      <c r="J266" s="758"/>
      <c r="K266" s="758"/>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idden="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idden="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idden="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idden="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idden="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idden="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idden="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idden="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idden="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hidden="1"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idden="1" outlineLevel="1">
      <c r="A277" s="675"/>
      <c r="B277" s="774"/>
      <c r="C277" s="775">
        <f>IF(C266="","",IF(DAY(C266+1)=1,"",C266+1))</f>
        <v>46137</v>
      </c>
      <c r="D277" s="776" t="str">
        <f>TEXT(C277,"ddd")</f>
        <v>土</v>
      </c>
      <c r="E277" s="777"/>
      <c r="F277" s="778" t="s">
        <v>527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idden="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idden="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idden="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idden="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idden="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idden="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idden="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idden="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idden="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hidden="1"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46138</v>
      </c>
      <c r="D289" s="758" t="str">
        <f>TEXT(C289,"ddd")</f>
        <v>日</v>
      </c>
      <c r="E289" s="759"/>
      <c r="F289" s="787" t="s">
        <v>527</v>
      </c>
      <c r="G289" s="788"/>
      <c r="H289" s="789"/>
      <c r="I289" s="790">
        <v>0.0</v>
      </c>
      <c r="J289" s="758"/>
      <c r="K289" s="758"/>
      <c r="L289" s="768"/>
      <c r="M289" s="768"/>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534</v>
      </c>
      <c r="F300" s="778" t="s">
        <v>527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outlineLevel="1">
      <c r="A311" s="675"/>
      <c r="B311" s="756"/>
      <c r="C311" s="757">
        <f>IF(C300="","",IF(DAY(C300+1)=1,"",C300+1))</f>
        <v>46140</v>
      </c>
      <c r="D311" s="758" t="str">
        <f>TEXT(C311,"ddd")</f>
        <v>火</v>
      </c>
      <c r="E311" s="759"/>
      <c r="F311" s="787" t="s">
        <v>527</v>
      </c>
      <c r="G311" s="788"/>
      <c r="H311" s="789"/>
      <c r="I311" s="790">
        <v>0.0</v>
      </c>
      <c r="J311" s="758"/>
      <c r="K311" s="758"/>
      <c r="L311" s="768"/>
      <c r="M311" s="768"/>
      <c r="N311" s="787"/>
      <c r="O311" s="791"/>
      <c r="P311" s="784"/>
      <c r="Q311" s="785"/>
      <c r="R311" s="675"/>
      <c r="S311" s="675"/>
      <c r="T311" s="675"/>
      <c r="U311" s="678"/>
      <c r="V311" s="679"/>
      <c r="W311" s="675"/>
      <c r="X311" s="675"/>
      <c r="Y311" s="675"/>
      <c r="Z311" s="675"/>
    </row>
    <row r="312"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outlineLevel="1">
      <c r="A333" s="675"/>
      <c r="B333" s="756"/>
      <c r="C333" s="757">
        <f>IF(C322="","",IF(DAY(C322+1)=1,"",C322+1))</f>
        <v>46142</v>
      </c>
      <c r="D333" s="758" t="str">
        <f>TEXT(C333,"ddd")</f>
        <v>木</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579932127" ref="T11"/>
    <hyperlink r:id="rId4" location="gid=1504614731" ref="T48"/>
    <hyperlink display="②R8_4シフト" location="null!A1" ref="T49"/>
    <hyperlink r:id="rId5" location="gid=293381066" ref="T50"/>
    <hyperlink r:id="rId6" location="gid=1382101940" ref="T51"/>
    <hyperlink r:id="rId7" location="gid=987986399" ref="T52"/>
    <hyperlink r:id="rId8" location="gid=1478534262" ref="T53"/>
    <hyperlink r:id="rId9" location="gid=1935386652" ref="T54"/>
    <hyperlink r:id="rId10" location="gid=1754586765" ref="T55"/>
    <hyperlink r:id="rId11" location="gid=127004092" ref="T56"/>
    <hyperlink r:id="rId12" location="gid=916789345" ref="T57"/>
    <hyperlink r:id="rId13" location="gid=2025791571" ref="T58"/>
    <hyperlink r:id="rId14" location="gid=23138481" ref="T59"/>
    <hyperlink r:id="rId15" location="gid=2052921190" ref="T60"/>
    <hyperlink r:id="rId16" location="gid=1192717870" ref="T61"/>
    <hyperlink r:id="rId17" location="gid=904363473" ref="T62"/>
    <hyperlink r:id="rId18" location="gid=1382810097" ref="T63"/>
    <hyperlink r:id="rId19" location="gid=568339025" ref="T64"/>
    <hyperlink r:id="rId20" location="gid=1169517304" ref="T65"/>
    <hyperlink r:id="rId21" location="gid=691009299" ref="T66"/>
    <hyperlink r:id="rId22" location="gid=514129956" ref="T67"/>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55</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"),"①R8_4集計")</f>
        <v>①R8_4集計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t="str">
        <f t="array" ref="C10">INDIRECT($E$8 &amp; "!C8")</f>
        <v>#N/A</v>
      </c>
      <c r="D10" s="844" t="str">
        <f t="array" ref="D10">INDIRECT($E$8 &amp; "!E8")</f>
        <v>#N/A</v>
      </c>
      <c r="E10" s="844" t="str">
        <f t="array" ref="E10">INDIRECT($E$8 &amp; "!G8")</f>
        <v>#DIV/0!</v>
      </c>
      <c r="F10" s="845">
        <f t="array" ref="F10">INDIRECT($E$8 &amp; "!H8")</f>
        <v>0</v>
      </c>
      <c r="G10" s="845" t="str">
        <f t="array" ref="G10">INDIRECT($E$8 &amp; "!K8")</f>
        <v>#N/A</v>
      </c>
      <c r="H10" s="845" t="str">
        <f t="array" ref="H10">INDIRECT($E$8 &amp; "!M8")</f>
        <v>#N/A</v>
      </c>
      <c r="I10" s="844" t="str">
        <f t="array" ref="I10">INDIRECT($E$8 &amp; "!AT7")</f>
        <v>#DIV/0!</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0.2713496394</v>
      </c>
      <c r="D11" s="848"/>
      <c r="E11" s="849"/>
      <c r="F11" s="850">
        <f t="array" ref="F11">INDIRECT($E$8 &amp; "!H7")</f>
        <v>13092350</v>
      </c>
      <c r="G11" s="848"/>
      <c r="H11" s="851">
        <f t="array" ref="H11">INDIRECT($E$8 &amp; "!M7")</f>
        <v>3552604.451</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859" t="str">
        <f t="array" ref="I13">xlookup($B$5,'🔵クレーム'!$C$10:$C$21,'🔵クレーム'!X$10:X$21)</f>
        <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0</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0</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896"/>
      <c r="C66" s="897"/>
      <c r="D66" s="894"/>
      <c r="E66" s="915"/>
      <c r="F66" s="899"/>
      <c r="G66" s="894"/>
      <c r="H66" s="916"/>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896"/>
      <c r="C67" s="902"/>
      <c r="D67" s="894"/>
      <c r="E67" s="915"/>
      <c r="F67" s="899"/>
      <c r="G67" s="894"/>
      <c r="H67" s="916"/>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896"/>
      <c r="C68" s="902"/>
      <c r="D68" s="894"/>
      <c r="E68" s="915"/>
      <c r="F68" s="899"/>
      <c r="G68" s="894"/>
      <c r="H68" s="916"/>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12774306.13</v>
      </c>
      <c r="D1" s="313">
        <f>AZ20</f>
        <v>1442268.915</v>
      </c>
      <c r="E1" s="313">
        <f>BG23</f>
        <v>4204965.667</v>
      </c>
      <c r="F1" s="313">
        <f>BB23+BG40</f>
        <v>3192490</v>
      </c>
      <c r="G1" s="313">
        <f t="shared" ref="G1:H1" si="1">I8</f>
        <v>384173.0389</v>
      </c>
      <c r="H1" s="313">
        <f t="shared" si="1"/>
        <v>15003</v>
      </c>
      <c r="I1" s="314">
        <f>G8</f>
        <v>0.8636160714</v>
      </c>
      <c r="J1" s="314">
        <f>AT7</f>
        <v>0.0006462035541</v>
      </c>
      <c r="K1" s="315">
        <f>AV44</f>
        <v>8</v>
      </c>
      <c r="L1" s="316">
        <f>F44</f>
        <v>12380</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46082.0</v>
      </c>
      <c r="E5" s="73"/>
      <c r="F5" s="330" t="s">
        <v>309</v>
      </c>
      <c r="G5" s="331">
        <f>DAY(EOMONTH(D5,0))</f>
        <v>31</v>
      </c>
      <c r="H5" s="332" t="s">
        <v>310</v>
      </c>
      <c r="I5" s="330" t="s">
        <v>311</v>
      </c>
      <c r="J5" s="333" t="b">
        <v>0</v>
      </c>
      <c r="K5" s="330" t="s">
        <v>312</v>
      </c>
      <c r="L5" s="334" t="b">
        <v>0</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326</v>
      </c>
      <c r="H7" s="356">
        <f t="array" ref="H7">xlookup($D$5,'🌟目標数値'!$A$3:$A$14,'🌟目標数値'!D$3:D14)</f>
        <v>13092350</v>
      </c>
      <c r="I7" s="356" t="s">
        <v>326</v>
      </c>
      <c r="J7" s="357" t="s">
        <v>326</v>
      </c>
      <c r="K7" s="358" t="s">
        <v>326</v>
      </c>
      <c r="L7" s="358" t="s">
        <v>326</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0.0006462035541</v>
      </c>
      <c r="AU7" s="73"/>
      <c r="AV7" s="920">
        <f>IFERROR(__xludf.DUMMYFUNCTION("IMPORTRANGE(AT9,""日別集計!AI4"")"),33.0)</f>
        <v>33</v>
      </c>
      <c r="AW7" s="73"/>
      <c r="AX7" s="347"/>
      <c r="AY7" s="362"/>
      <c r="BG7" s="363"/>
      <c r="BL7" s="351"/>
    </row>
    <row r="8" ht="15.75" customHeight="1" outlineLevel="1">
      <c r="B8" s="364" t="s">
        <v>327</v>
      </c>
      <c r="C8" s="365">
        <f>M8/H8</f>
        <v>0.2779335701</v>
      </c>
      <c r="D8" s="73"/>
      <c r="E8" s="366">
        <f>(BB23+BG23-BE24)/H8</f>
        <v>0.5790886481</v>
      </c>
      <c r="F8" s="73"/>
      <c r="G8" s="367">
        <f>G47</f>
        <v>0.8636160714</v>
      </c>
      <c r="H8" s="368">
        <f>BB30</f>
        <v>12774306.13</v>
      </c>
      <c r="I8" s="369">
        <f>IFERROR(__xludf.DUMMYFUNCTION("IMPORTRANGE(""https://docs.google.com/spreadsheets/d/1QbHfX9wvC_RRupa4CCe_ZxA6O4e2Ap9vqX5hrZPeQRg/edit"",""date2_1!Q7"")/G5*COUNTIFS($E$13:$E$43,""&gt;0"")"),384173.03885630495)</f>
        <v>384173.0389</v>
      </c>
      <c r="J8" s="370">
        <f>IFERROR(__xludf.DUMMYFUNCTION("IMPORTRANGE(""https://docs.google.com/spreadsheets/d/1PIAlDmsTatDNi42y_Nu-aVFqvVCXfe6jiDJFQImKjZ0/edit#gid=630612029"",""R8_3!J5"")"),15003.0)</f>
        <v>15003</v>
      </c>
      <c r="K8" s="371">
        <f>BE24</f>
        <v>0</v>
      </c>
      <c r="L8" s="371">
        <f>BB30-BB23-AZ20-BG45-BG23+BE24</f>
        <v>3934581.547</v>
      </c>
      <c r="M8" s="372">
        <f>L8-I8</f>
        <v>3550408.509</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12247682.26</v>
      </c>
      <c r="I9" s="382" t="s">
        <v>326</v>
      </c>
      <c r="J9" s="383" t="s">
        <v>326</v>
      </c>
      <c r="K9" s="384" t="s">
        <v>326</v>
      </c>
      <c r="L9" s="384" t="s">
        <v>326</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46082</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369</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429</v>
      </c>
      <c r="G13" s="412">
        <f t="shared" ref="G13:G43" si="5">if(I13="","",sum(I13:L13))</f>
        <v>400</v>
      </c>
      <c r="H13" s="413">
        <v>29.0</v>
      </c>
      <c r="I13" s="413">
        <v>331.0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408500</v>
      </c>
      <c r="AT13" s="417">
        <f>IFERROR(__xludf.DUMMYFUNCTION("FLATTEN('⚙️抽出用'!B4:AF4)"),137283.33333333334)</f>
        <v>137283.3333</v>
      </c>
      <c r="AU13" s="418">
        <f t="shared" ref="AU13:AU43" si="8">if(E13="","",iferror((AT13+AR13+$BF$23/if(month($D$5)=month(today()),day(today()),$G$5))/(AS13+(sum($BA$31:$BA$33)/$G$5)),""))</f>
        <v>0.5918497652</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0.5811028603</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0.5566312679</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0.5655891831</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0.5454221156</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0.586856143</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0.5731827393</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0.5684845232</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IFERROR(__xludf.DUMMYFUNCTION("IMPORTRANGE(""https://docs.google.com/spreadsheets/d/1QbHfX9wvC_RRupa4CCe_ZxA6O4e2Ap9vqX5hrZPeQRg/edit?gid=284905409#gid=284905409"",""date2_1!C7"")/G5*COUNTIFS($E$13:$E$43,""&gt;0"")+sum(AZ14:BA19)"),1442268.9149560118)</f>
        <v>1442268.915</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0.5818553114</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0.5727859748</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0.5626698772</v>
      </c>
      <c r="AV23" s="412">
        <f>countifs('🔵クレーム'!$C:$C,MONTH($D$5)&amp;"月",'🔵クレーム'!$D:$D,day(C23)&amp;"日",'🔵クレーム'!$I:$I,"&lt;&gt;")</f>
        <v>2</v>
      </c>
      <c r="AW23" s="419"/>
      <c r="AX23" s="323"/>
      <c r="AY23" s="448" t="s">
        <v>380</v>
      </c>
      <c r="AZ23" s="449">
        <f>AR44</f>
        <v>3192490</v>
      </c>
      <c r="BA23" s="73"/>
      <c r="BB23" s="450">
        <f>AZ23-AZ24</f>
        <v>3192490</v>
      </c>
      <c r="BC23" s="323"/>
      <c r="BD23" s="451" t="s">
        <v>381</v>
      </c>
      <c r="BE23" s="452">
        <f>IFERROR(__xludf.DUMMYFUNCTION("IMPORTRANGE(AT9,""total!ai2"")"),3898009.666666667)</f>
        <v>3898009.667</v>
      </c>
      <c r="BF23" s="452">
        <f>IFERROR(__xludf.DUMMYFUNCTION("IMPORTRANGE(AT9,""total!CP2"")"),256956.0)</f>
        <v>256956</v>
      </c>
      <c r="BG23" s="450">
        <f>sum(BE23:BF27)+BE20</f>
        <v>4204965.667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401</v>
      </c>
      <c r="H24" s="426">
        <v>37.0</v>
      </c>
      <c r="I24" s="426">
        <v>328.0</v>
      </c>
      <c r="J24" s="426">
        <v>71.0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404770</v>
      </c>
      <c r="AT24" s="417">
        <f>IFERROR(__xludf.DUMMYFUNCTION("""COMPUTED_VALUE"""),123202.16666666667)</f>
        <v>123202.1667</v>
      </c>
      <c r="AU24" s="418">
        <f t="shared" si="8"/>
        <v>0.5796034236</v>
      </c>
      <c r="AV24" s="412">
        <f>countifs('🔵クレーム'!$C:$C,MONTH($D$5)&amp;"月",'🔵クレーム'!$D:$D,day(C24)&amp;"日",'🔵クレーム'!$I:$I,"&lt;&gt;")</f>
        <v>0</v>
      </c>
      <c r="AW24" s="419"/>
      <c r="AX24" s="323"/>
      <c r="AY24" s="448" t="s">
        <v>382</v>
      </c>
      <c r="AZ24" s="449">
        <f>BE36</f>
        <v>0</v>
      </c>
      <c r="BA24" s="73"/>
      <c r="BB24" s="453"/>
      <c r="BC24" s="323"/>
      <c r="BD24" s="448" t="s">
        <v>383</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0.5854996662</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0.5699285161</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0.5765118323</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50000.0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0.5308817536</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0.5968979218</v>
      </c>
      <c r="AV29" s="412">
        <f>countifs('🔵クレーム'!$C:$C,MONTH($D$5)&amp;"月",'🔵クレーム'!$D:$D,day(C29)&amp;"日",'🔵クレーム'!$I:$I,"&lt;&gt;")</f>
        <v>0</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0.5658168211</v>
      </c>
      <c r="AV30" s="412">
        <f>countifs('🔵クレーム'!$C:$C,MONTH($D$5)&amp;"月",'🔵クレーム'!$D:$D,day(C30)&amp;"日",'🔵クレーム'!$I:$I,"&lt;&gt;")</f>
        <v>0</v>
      </c>
      <c r="AW30" s="419"/>
      <c r="AX30" s="323"/>
      <c r="AY30" s="464" t="s">
        <v>389</v>
      </c>
      <c r="AZ30" s="452">
        <f>AS46</f>
        <v>11998690</v>
      </c>
      <c r="BA30" s="465" t="s">
        <v>326</v>
      </c>
      <c r="BB30" s="450">
        <f>SUM(AZ30:AZ36)</f>
        <v>12774306.13</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0.5680462147</v>
      </c>
      <c r="AV31" s="412">
        <f>countifs('🔵クレーム'!$C:$C,MONTH($D$5)&amp;"月",'🔵クレーム'!$D:$D,day(C31)&amp;"日",'🔵クレーム'!$I:$I,"&lt;&gt;")</f>
        <v>0</v>
      </c>
      <c r="AW31" s="419"/>
      <c r="AX31" s="323"/>
      <c r="AY31" s="451" t="s">
        <v>393</v>
      </c>
      <c r="AZ31" s="452">
        <f t="shared" ref="AZ31:AZ33" si="10">BA31/$G$5*COUNTIFS($E$13:$E$43,"&gt;0")</f>
        <v>353032.2581</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0.5969921354</v>
      </c>
      <c r="AV32" s="412">
        <f>countifs('🔵クレーム'!$C:$C,MONTH($D$5)&amp;"月",'🔵クレーム'!$D:$D,day(C32)&amp;"日",'🔵クレーム'!$I:$I,"&lt;&gt;")</f>
        <v>0</v>
      </c>
      <c r="AW32" s="419"/>
      <c r="AX32" s="323"/>
      <c r="AY32" s="451" t="s">
        <v>395</v>
      </c>
      <c r="AZ32" s="452">
        <f t="shared" si="10"/>
        <v>411158.7097</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0.5637666009</v>
      </c>
      <c r="AV33" s="412">
        <f>countifs('🔵クレーム'!$C:$C,MONTH($D$5)&amp;"月",'🔵クレーム'!$D:$D,day(C33)&amp;"日",'🔵クレーム'!$I:$I,"&lt;&gt;")</f>
        <v>1</v>
      </c>
      <c r="AW33" s="419"/>
      <c r="AX33" s="323"/>
      <c r="AY33" s="451" t="s">
        <v>397</v>
      </c>
      <c r="AZ33" s="452">
        <f t="shared" si="10"/>
        <v>11425.16129</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0.5933122901</v>
      </c>
      <c r="AV34" s="412">
        <f>countifs('🔵クレーム'!$C:$C,MONTH($D$5)&amp;"月",'🔵クレーム'!$D:$D,day(C34)&amp;"日",'🔵クレーム'!$I:$I,"&lt;&gt;")</f>
        <v>0</v>
      </c>
      <c r="AW34" s="419"/>
      <c r="AX34" s="323"/>
      <c r="AY34" s="475"/>
      <c r="AZ34" s="476"/>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0.5840342953</v>
      </c>
      <c r="AV35" s="412">
        <f>countifs('🔵クレーム'!$C:$C,MONTH($D$5)&amp;"月",'🔵クレーム'!$D:$D,day(C35)&amp;"日",'🔵クレーム'!$I:$I,"&lt;&gt;")</f>
        <v>0</v>
      </c>
      <c r="AW35" s="419"/>
      <c r="AX35" s="323"/>
      <c r="AY35" s="451"/>
      <c r="AZ35" s="430"/>
      <c r="BA35" s="430"/>
      <c r="BB35" s="453"/>
      <c r="BC35" s="323"/>
      <c r="BD35" s="478" t="s">
        <v>400</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348</v>
      </c>
      <c r="H36" s="481">
        <v>31.0</v>
      </c>
      <c r="I36" s="426">
        <v>291.0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358560</v>
      </c>
      <c r="AT36" s="417">
        <f>IFERROR(__xludf.DUMMYFUNCTION("""COMPUTED_VALUE"""),132676.66666666666)</f>
        <v>132676.6667</v>
      </c>
      <c r="AU36" s="418">
        <f t="shared" si="8"/>
        <v>0.5869339973</v>
      </c>
      <c r="AV36" s="412">
        <f>countifs('🔵クレーム'!$C:$C,MONTH($D$5)&amp;"月",'🔵クレーム'!$D:$D,day(C36)&amp;"日",'🔵クレーム'!$I:$I,"&lt;&gt;")</f>
        <v>0</v>
      </c>
      <c r="AW36" s="419"/>
      <c r="AX36" s="323"/>
      <c r="AY36" s="475" t="s">
        <v>401</v>
      </c>
      <c r="AZ36" s="476">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0.5637613917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0.5372930067</v>
      </c>
      <c r="AV38" s="412">
        <f>countifs('🔵クレーム'!$C:$C,MONTH($D$5)&amp;"月",'🔵クレーム'!$D:$D,day(C38)&amp;"日",'🔵クレーム'!$I:$I,"&lt;&gt;")</f>
        <v>1</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0.5909943859</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0.5757876374</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0.5921138805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0.579666987</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13440</v>
      </c>
      <c r="F44" s="493">
        <f t="shared" ref="F44:AB44" si="12">SUM(F13:F43)</f>
        <v>12380</v>
      </c>
      <c r="G44" s="493">
        <f t="shared" si="12"/>
        <v>11607</v>
      </c>
      <c r="H44" s="493">
        <f t="shared" si="12"/>
        <v>773</v>
      </c>
      <c r="I44" s="493">
        <f t="shared" si="12"/>
        <v>9577</v>
      </c>
      <c r="J44" s="493">
        <f t="shared" si="12"/>
        <v>1985</v>
      </c>
      <c r="K44" s="493">
        <f t="shared" si="12"/>
        <v>22</v>
      </c>
      <c r="L44" s="493">
        <f t="shared" si="12"/>
        <v>23</v>
      </c>
      <c r="M44" s="493">
        <f t="shared" si="12"/>
        <v>2266</v>
      </c>
      <c r="N44" s="493">
        <f t="shared" si="12"/>
        <v>2191</v>
      </c>
      <c r="O44" s="493">
        <f t="shared" si="12"/>
        <v>751</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3192490</v>
      </c>
      <c r="AS44" s="496">
        <f t="shared" si="13"/>
        <v>11998690</v>
      </c>
      <c r="AT44" s="496">
        <f t="shared" si="13"/>
        <v>3898009.667</v>
      </c>
      <c r="AU44" s="497">
        <f>AVERAGE(AU13:AU43)</f>
        <v>0.5741424173</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9289690</v>
      </c>
      <c r="J46" s="417">
        <f t="shared" si="15"/>
        <v>1925450</v>
      </c>
      <c r="K46" s="417">
        <f t="shared" si="15"/>
        <v>21340</v>
      </c>
      <c r="L46" s="417">
        <f t="shared" si="15"/>
        <v>22310</v>
      </c>
      <c r="M46" s="417">
        <f t="shared" si="15"/>
        <v>226600</v>
      </c>
      <c r="N46" s="417">
        <f t="shared" si="15"/>
        <v>438200</v>
      </c>
      <c r="O46" s="417">
        <f t="shared" si="15"/>
        <v>75100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11998690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f t="shared" ref="G47:H47" si="16">G44/$E$44</f>
        <v>0.8636160714</v>
      </c>
      <c r="H47" s="520">
        <f t="shared" si="16"/>
        <v>0.05751488095</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581</v>
      </c>
      <c r="O2" s="541"/>
      <c r="P2" s="542"/>
      <c r="Q2" s="543"/>
      <c r="R2" s="543"/>
      <c r="S2" s="544"/>
      <c r="T2" s="543"/>
      <c r="U2" s="543"/>
      <c r="V2" s="543"/>
      <c r="W2" s="543"/>
      <c r="X2" s="543"/>
      <c r="Y2" s="545"/>
      <c r="Z2" s="270"/>
      <c r="AA2" s="270"/>
      <c r="AB2" s="270"/>
      <c r="AC2" s="270"/>
      <c r="AD2" s="270"/>
      <c r="AE2" s="270"/>
      <c r="AF2" s="546"/>
      <c r="AG2" s="547"/>
      <c r="AH2" s="548"/>
      <c r="AI2" s="549" t="s">
        <v>582</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46112</v>
      </c>
      <c r="C7" s="620"/>
      <c r="D7" s="536"/>
      <c r="E7" s="621">
        <f>today()+1</f>
        <v>46113</v>
      </c>
      <c r="F7" s="622"/>
      <c r="G7" s="536"/>
      <c r="H7" s="536"/>
      <c r="I7" s="623" t="s">
        <v>450</v>
      </c>
      <c r="J7" s="624" t="s">
        <v>451</v>
      </c>
      <c r="K7" s="625">
        <v>46082.0</v>
      </c>
      <c r="L7" s="626" t="s">
        <v>452</v>
      </c>
      <c r="M7" s="627" t="s">
        <v>453</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2">
        <f t="shared" si="2"/>
        <v>46112</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火</v>
      </c>
      <c r="D8" s="115"/>
      <c r="E8" s="637" t="s">
        <v>331</v>
      </c>
      <c r="F8" s="638" t="str">
        <f>TEXT(E7,"ddd")</f>
        <v>水</v>
      </c>
      <c r="G8" s="188"/>
      <c r="H8" s="188"/>
      <c r="I8" s="623"/>
      <c r="J8" s="639" t="s">
        <v>461</v>
      </c>
      <c r="K8" s="626" t="s">
        <v>462</v>
      </c>
      <c r="L8" s="640" t="s">
        <v>463</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f t="shared" ref="C9:C63" si="5">if(B9="","", xlookup($B$7,$N$7:$AR$7,$N9:$AR9))</f>
        <v>22</v>
      </c>
      <c r="D9" s="188"/>
      <c r="E9" s="644" t="str">
        <f t="shared" ref="E9:E63" si="6">K9</f>
        <v>出勤者数合計</v>
      </c>
      <c r="F9" s="645" t="str">
        <f t="shared" ref="F9:F63" si="7">if(E9="","", xlookup($E$7,$N$7:$AR$7,$N9:$AR9))</f>
        <v>#N/A</v>
      </c>
      <c r="G9" s="188"/>
      <c r="H9" s="188"/>
      <c r="I9" s="168" t="b">
        <v>0</v>
      </c>
      <c r="J9" s="639"/>
      <c r="K9" s="646" t="s">
        <v>464</v>
      </c>
      <c r="L9" s="647" t="s">
        <v>465</v>
      </c>
      <c r="M9" s="648" t="s">
        <v>466</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465</v>
      </c>
      <c r="AT9" s="650" t="s">
        <v>465</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7</v>
      </c>
      <c r="D10" s="188"/>
      <c r="E10" s="644" t="str">
        <f t="shared" si="6"/>
        <v>チェッカー数</v>
      </c>
      <c r="F10" s="645" t="str">
        <f t="shared" si="7"/>
        <v>#N/A</v>
      </c>
      <c r="G10" s="188"/>
      <c r="H10" s="188"/>
      <c r="I10" s="168" t="b">
        <v>0</v>
      </c>
      <c r="J10" s="639"/>
      <c r="K10" s="646" t="s">
        <v>467</v>
      </c>
      <c r="L10" s="647" t="s">
        <v>465</v>
      </c>
      <c r="M10" s="648" t="s">
        <v>468</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465</v>
      </c>
      <c r="AT10" s="650" t="s">
        <v>465</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#N/A</v>
      </c>
      <c r="G11" s="188"/>
      <c r="H11" s="188"/>
      <c r="I11" s="168" t="b">
        <v>0</v>
      </c>
      <c r="J11" s="624"/>
      <c r="K11" s="646" t="s">
        <v>147</v>
      </c>
      <c r="L11" s="647" t="s">
        <v>469</v>
      </c>
      <c r="M11" s="653"/>
      <c r="N11" s="654" t="s">
        <v>583</v>
      </c>
      <c r="O11" s="654" t="s">
        <v>422</v>
      </c>
      <c r="P11" s="654" t="s">
        <v>422</v>
      </c>
      <c r="Q11" s="654" t="s">
        <v>422</v>
      </c>
      <c r="R11" s="654" t="s">
        <v>422</v>
      </c>
      <c r="S11" s="654"/>
      <c r="T11" s="654"/>
      <c r="U11" s="654"/>
      <c r="V11" s="654" t="s">
        <v>422</v>
      </c>
      <c r="W11" s="654" t="s">
        <v>422</v>
      </c>
      <c r="X11" s="654" t="s">
        <v>422</v>
      </c>
      <c r="Y11" s="654" t="s">
        <v>422</v>
      </c>
      <c r="Z11" s="654" t="s">
        <v>422</v>
      </c>
      <c r="AA11" s="654"/>
      <c r="AB11" s="654"/>
      <c r="AC11" s="654" t="s">
        <v>422</v>
      </c>
      <c r="AD11" s="654" t="s">
        <v>422</v>
      </c>
      <c r="AE11" s="654" t="s">
        <v>422</v>
      </c>
      <c r="AF11" s="654" t="s">
        <v>422</v>
      </c>
      <c r="AG11" s="655"/>
      <c r="AH11" s="654" t="s">
        <v>422</v>
      </c>
      <c r="AI11" s="654"/>
      <c r="AJ11" s="654"/>
      <c r="AK11" s="654"/>
      <c r="AL11" s="654" t="s">
        <v>422</v>
      </c>
      <c r="AM11" s="654" t="s">
        <v>422</v>
      </c>
      <c r="AN11" s="654"/>
      <c r="AO11" s="654" t="s">
        <v>422</v>
      </c>
      <c r="AP11" s="654" t="s">
        <v>422</v>
      </c>
      <c r="AQ11" s="654" t="s">
        <v>422</v>
      </c>
      <c r="AR11" s="654" t="s">
        <v>422</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#N/A</v>
      </c>
      <c r="G12" s="188"/>
      <c r="H12" s="188"/>
      <c r="I12" s="168" t="b">
        <v>0</v>
      </c>
      <c r="J12" s="624"/>
      <c r="K12" s="646" t="s">
        <v>100</v>
      </c>
      <c r="L12" s="647" t="s">
        <v>469</v>
      </c>
      <c r="M12" s="653"/>
      <c r="N12" s="654"/>
      <c r="O12" s="654" t="s">
        <v>422</v>
      </c>
      <c r="P12" s="654"/>
      <c r="Q12" s="654"/>
      <c r="R12" s="654" t="s">
        <v>470</v>
      </c>
      <c r="S12" s="654" t="s">
        <v>422</v>
      </c>
      <c r="T12" s="654" t="s">
        <v>422</v>
      </c>
      <c r="U12" s="654" t="s">
        <v>422</v>
      </c>
      <c r="V12" s="654" t="s">
        <v>422</v>
      </c>
      <c r="W12" s="654"/>
      <c r="X12" s="654"/>
      <c r="Y12" s="654"/>
      <c r="Z12" s="654" t="s">
        <v>422</v>
      </c>
      <c r="AA12" s="654" t="s">
        <v>422</v>
      </c>
      <c r="AB12" s="654" t="s">
        <v>422</v>
      </c>
      <c r="AC12" s="654" t="s">
        <v>422</v>
      </c>
      <c r="AD12" s="654" t="s">
        <v>422</v>
      </c>
      <c r="AE12" s="654"/>
      <c r="AF12" s="654"/>
      <c r="AG12" s="655" t="s">
        <v>422</v>
      </c>
      <c r="AH12" s="654" t="s">
        <v>422</v>
      </c>
      <c r="AI12" s="654" t="s">
        <v>422</v>
      </c>
      <c r="AJ12" s="654" t="s">
        <v>422</v>
      </c>
      <c r="AK12" s="654" t="s">
        <v>422</v>
      </c>
      <c r="AL12" s="654"/>
      <c r="AM12" s="654"/>
      <c r="AN12" s="654" t="s">
        <v>422</v>
      </c>
      <c r="AO12" s="654" t="s">
        <v>422</v>
      </c>
      <c r="AP12" s="654" t="s">
        <v>422</v>
      </c>
      <c r="AQ12" s="654" t="s">
        <v>422</v>
      </c>
      <c r="AR12" s="654" t="s">
        <v>422</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#N/A</v>
      </c>
      <c r="G13" s="188"/>
      <c r="H13" s="188"/>
      <c r="I13" s="168" t="b">
        <v>0</v>
      </c>
      <c r="J13" s="624"/>
      <c r="K13" s="646" t="s">
        <v>111</v>
      </c>
      <c r="L13" s="647" t="s">
        <v>473</v>
      </c>
      <c r="M13" s="653"/>
      <c r="N13" s="654" t="s">
        <v>424</v>
      </c>
      <c r="O13" s="654" t="s">
        <v>424</v>
      </c>
      <c r="P13" s="654"/>
      <c r="Q13" s="654"/>
      <c r="R13" s="654" t="s">
        <v>424</v>
      </c>
      <c r="S13" s="654" t="s">
        <v>424</v>
      </c>
      <c r="T13" s="654" t="s">
        <v>424</v>
      </c>
      <c r="U13" s="654" t="s">
        <v>424</v>
      </c>
      <c r="V13" s="654" t="s">
        <v>424</v>
      </c>
      <c r="W13" s="654"/>
      <c r="X13" s="654" t="s">
        <v>424</v>
      </c>
      <c r="Y13" s="654" t="s">
        <v>424</v>
      </c>
      <c r="Z13" s="654"/>
      <c r="AA13" s="654" t="s">
        <v>424</v>
      </c>
      <c r="AB13" s="654" t="s">
        <v>424</v>
      </c>
      <c r="AC13" s="654" t="s">
        <v>424</v>
      </c>
      <c r="AD13" s="654"/>
      <c r="AE13" s="654"/>
      <c r="AF13" s="654" t="s">
        <v>424</v>
      </c>
      <c r="AG13" s="655" t="s">
        <v>424</v>
      </c>
      <c r="AH13" s="654" t="s">
        <v>424</v>
      </c>
      <c r="AI13" s="654" t="s">
        <v>424</v>
      </c>
      <c r="AJ13" s="654" t="s">
        <v>424</v>
      </c>
      <c r="AK13" s="654"/>
      <c r="AL13" s="654"/>
      <c r="AM13" s="654" t="s">
        <v>424</v>
      </c>
      <c r="AN13" s="654" t="s">
        <v>424</v>
      </c>
      <c r="AO13" s="654" t="s">
        <v>424</v>
      </c>
      <c r="AP13" s="654" t="s">
        <v>424</v>
      </c>
      <c r="AQ13" s="654"/>
      <c r="AR13" s="654" t="s">
        <v>424</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#N/A</v>
      </c>
      <c r="G14" s="188"/>
      <c r="H14" s="188"/>
      <c r="I14" s="168" t="b">
        <v>0</v>
      </c>
      <c r="J14" s="624"/>
      <c r="K14" s="646" t="s">
        <v>141</v>
      </c>
      <c r="L14" s="647" t="s">
        <v>473</v>
      </c>
      <c r="M14" s="653"/>
      <c r="N14" s="654" t="s">
        <v>424</v>
      </c>
      <c r="O14" s="654"/>
      <c r="P14" s="654"/>
      <c r="Q14" s="654" t="s">
        <v>424</v>
      </c>
      <c r="R14" s="654" t="s">
        <v>424</v>
      </c>
      <c r="S14" s="654" t="s">
        <v>424</v>
      </c>
      <c r="T14" s="654" t="s">
        <v>424</v>
      </c>
      <c r="U14" s="654" t="s">
        <v>424</v>
      </c>
      <c r="V14" s="654"/>
      <c r="W14" s="654"/>
      <c r="X14" s="654"/>
      <c r="Y14" s="654" t="s">
        <v>424</v>
      </c>
      <c r="Z14" s="654" t="s">
        <v>424</v>
      </c>
      <c r="AA14" s="654" t="s">
        <v>424</v>
      </c>
      <c r="AB14" s="654" t="s">
        <v>424</v>
      </c>
      <c r="AC14" s="654"/>
      <c r="AD14" s="654"/>
      <c r="AE14" s="654" t="s">
        <v>424</v>
      </c>
      <c r="AF14" s="654" t="s">
        <v>424</v>
      </c>
      <c r="AG14" s="655" t="s">
        <v>424</v>
      </c>
      <c r="AH14" s="654" t="s">
        <v>424</v>
      </c>
      <c r="AI14" s="654" t="s">
        <v>424</v>
      </c>
      <c r="AJ14" s="654"/>
      <c r="AK14" s="654"/>
      <c r="AL14" s="654" t="s">
        <v>424</v>
      </c>
      <c r="AM14" s="654" t="s">
        <v>424</v>
      </c>
      <c r="AN14" s="654" t="s">
        <v>424</v>
      </c>
      <c r="AO14" s="654" t="s">
        <v>424</v>
      </c>
      <c r="AP14" s="654"/>
      <c r="AQ14" s="654" t="s">
        <v>424</v>
      </c>
      <c r="AR14" s="654" t="s">
        <v>424</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#N/A</v>
      </c>
      <c r="G15" s="188"/>
      <c r="H15" s="188"/>
      <c r="I15" s="168" t="b">
        <v>0</v>
      </c>
      <c r="J15" s="624"/>
      <c r="K15" s="646" t="s">
        <v>119</v>
      </c>
      <c r="L15" s="647" t="s">
        <v>473</v>
      </c>
      <c r="M15" s="653"/>
      <c r="N15" s="654" t="s">
        <v>424</v>
      </c>
      <c r="O15" s="654"/>
      <c r="P15" s="654" t="s">
        <v>424</v>
      </c>
      <c r="Q15" s="654"/>
      <c r="R15" s="654" t="s">
        <v>424</v>
      </c>
      <c r="S15" s="654" t="s">
        <v>424</v>
      </c>
      <c r="T15" s="654" t="s">
        <v>424</v>
      </c>
      <c r="U15" s="654"/>
      <c r="V15" s="654"/>
      <c r="W15" s="654" t="s">
        <v>424</v>
      </c>
      <c r="X15" s="654" t="s">
        <v>424</v>
      </c>
      <c r="Y15" s="654" t="s">
        <v>424</v>
      </c>
      <c r="Z15" s="654" t="s">
        <v>424</v>
      </c>
      <c r="AA15" s="654" t="s">
        <v>424</v>
      </c>
      <c r="AB15" s="654"/>
      <c r="AC15" s="654" t="s">
        <v>424</v>
      </c>
      <c r="AD15" s="654" t="s">
        <v>424</v>
      </c>
      <c r="AE15" s="654" t="s">
        <v>424</v>
      </c>
      <c r="AF15" s="654" t="s">
        <v>424</v>
      </c>
      <c r="AG15" s="655" t="s">
        <v>424</v>
      </c>
      <c r="AH15" s="654"/>
      <c r="AI15" s="654"/>
      <c r="AJ15" s="654" t="s">
        <v>424</v>
      </c>
      <c r="AK15" s="654" t="s">
        <v>424</v>
      </c>
      <c r="AL15" s="654" t="s">
        <v>424</v>
      </c>
      <c r="AM15" s="654" t="s">
        <v>424</v>
      </c>
      <c r="AN15" s="654" t="s">
        <v>424</v>
      </c>
      <c r="AO15" s="654"/>
      <c r="AP15" s="654"/>
      <c r="AQ15" s="654" t="s">
        <v>424</v>
      </c>
      <c r="AR15" s="654" t="s">
        <v>424</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v>
      </c>
      <c r="D16" s="188"/>
      <c r="E16" s="644" t="str">
        <f t="shared" si="6"/>
        <v>エマ</v>
      </c>
      <c r="F16" s="645" t="str">
        <f t="shared" si="7"/>
        <v>#N/A</v>
      </c>
      <c r="G16" s="188"/>
      <c r="H16" s="188"/>
      <c r="I16" s="168" t="b">
        <v>0</v>
      </c>
      <c r="J16" s="624"/>
      <c r="K16" s="662" t="s">
        <v>200</v>
      </c>
      <c r="L16" s="647" t="s">
        <v>479</v>
      </c>
      <c r="M16" s="653"/>
      <c r="N16" s="654" t="s">
        <v>424</v>
      </c>
      <c r="O16" s="654"/>
      <c r="P16" s="654" t="s">
        <v>424</v>
      </c>
      <c r="Q16" s="654" t="s">
        <v>424</v>
      </c>
      <c r="R16" s="654"/>
      <c r="S16" s="654"/>
      <c r="T16" s="654" t="s">
        <v>424</v>
      </c>
      <c r="U16" s="654" t="s">
        <v>424</v>
      </c>
      <c r="V16" s="654"/>
      <c r="W16" s="654" t="s">
        <v>424</v>
      </c>
      <c r="X16" s="654" t="s">
        <v>424</v>
      </c>
      <c r="Y16" s="654"/>
      <c r="Z16" s="654"/>
      <c r="AA16" s="654" t="s">
        <v>424</v>
      </c>
      <c r="AB16" s="654" t="s">
        <v>424</v>
      </c>
      <c r="AC16" s="654"/>
      <c r="AD16" s="654" t="s">
        <v>424</v>
      </c>
      <c r="AE16" s="654" t="s">
        <v>424</v>
      </c>
      <c r="AF16" s="654"/>
      <c r="AG16" s="655"/>
      <c r="AH16" s="654" t="s">
        <v>424</v>
      </c>
      <c r="AI16" s="654" t="s">
        <v>424</v>
      </c>
      <c r="AJ16" s="654"/>
      <c r="AK16" s="654" t="s">
        <v>424</v>
      </c>
      <c r="AL16" s="654" t="s">
        <v>424</v>
      </c>
      <c r="AM16" s="654"/>
      <c r="AN16" s="654"/>
      <c r="AO16" s="654" t="s">
        <v>424</v>
      </c>
      <c r="AP16" s="654" t="s">
        <v>424</v>
      </c>
      <c r="AQ16" s="654"/>
      <c r="AR16" s="654" t="s">
        <v>424</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
      </c>
      <c r="D17" s="188"/>
      <c r="E17" s="644" t="str">
        <f t="shared" si="6"/>
        <v>ジャムナ</v>
      </c>
      <c r="F17" s="645" t="str">
        <f t="shared" si="7"/>
        <v>#N/A</v>
      </c>
      <c r="G17" s="188"/>
      <c r="H17" s="188"/>
      <c r="I17" s="168" t="b">
        <v>0</v>
      </c>
      <c r="J17" s="624"/>
      <c r="K17" s="662" t="s">
        <v>196</v>
      </c>
      <c r="L17" s="647" t="s">
        <v>479</v>
      </c>
      <c r="M17" s="653"/>
      <c r="N17" s="654" t="s">
        <v>424</v>
      </c>
      <c r="O17" s="654" t="s">
        <v>424</v>
      </c>
      <c r="P17" s="654"/>
      <c r="Q17" s="654" t="s">
        <v>424</v>
      </c>
      <c r="R17" s="654"/>
      <c r="S17" s="654"/>
      <c r="T17" s="654"/>
      <c r="U17" s="654" t="s">
        <v>424</v>
      </c>
      <c r="V17" s="654" t="s">
        <v>424</v>
      </c>
      <c r="W17" s="654"/>
      <c r="X17" s="654" t="s">
        <v>424</v>
      </c>
      <c r="Y17" s="654"/>
      <c r="Z17" s="654"/>
      <c r="AA17" s="654"/>
      <c r="AB17" s="654" t="s">
        <v>424</v>
      </c>
      <c r="AC17" s="654" t="s">
        <v>424</v>
      </c>
      <c r="AD17" s="654"/>
      <c r="AE17" s="654" t="s">
        <v>424</v>
      </c>
      <c r="AF17" s="654"/>
      <c r="AG17" s="655"/>
      <c r="AH17" s="654"/>
      <c r="AI17" s="654" t="s">
        <v>424</v>
      </c>
      <c r="AJ17" s="654" t="s">
        <v>424</v>
      </c>
      <c r="AK17" s="654"/>
      <c r="AL17" s="654" t="s">
        <v>424</v>
      </c>
      <c r="AM17" s="654"/>
      <c r="AN17" s="654"/>
      <c r="AO17" s="654"/>
      <c r="AP17" s="654" t="s">
        <v>424</v>
      </c>
      <c r="AQ17" s="654" t="s">
        <v>424</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
      </c>
      <c r="D18" s="188"/>
      <c r="E18" s="644" t="str">
        <f t="shared" si="6"/>
        <v>ゴマ</v>
      </c>
      <c r="F18" s="645" t="str">
        <f t="shared" si="7"/>
        <v>#N/A</v>
      </c>
      <c r="G18" s="188"/>
      <c r="H18" s="188"/>
      <c r="I18" s="168" t="b">
        <v>0</v>
      </c>
      <c r="J18" s="624"/>
      <c r="K18" s="664" t="s">
        <v>584</v>
      </c>
      <c r="L18" s="647" t="s">
        <v>479</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v>
      </c>
      <c r="D19" s="188"/>
      <c r="E19" s="644" t="str">
        <f t="shared" si="6"/>
        <v>ラディカ</v>
      </c>
      <c r="F19" s="645" t="str">
        <f t="shared" si="7"/>
        <v>#N/A</v>
      </c>
      <c r="G19" s="188"/>
      <c r="H19" s="188"/>
      <c r="I19" s="168" t="b">
        <v>0</v>
      </c>
      <c r="J19" s="624"/>
      <c r="K19" s="664" t="s">
        <v>136</v>
      </c>
      <c r="L19" s="647" t="s">
        <v>479</v>
      </c>
      <c r="M19" s="653"/>
      <c r="N19" s="654"/>
      <c r="O19" s="654"/>
      <c r="P19" s="654" t="s">
        <v>424</v>
      </c>
      <c r="Q19" s="654"/>
      <c r="R19" s="654" t="s">
        <v>424</v>
      </c>
      <c r="S19" s="654" t="s">
        <v>424</v>
      </c>
      <c r="T19" s="654"/>
      <c r="U19" s="654"/>
      <c r="V19" s="654"/>
      <c r="W19" s="654" t="s">
        <v>424</v>
      </c>
      <c r="X19" s="654"/>
      <c r="Y19" s="654" t="s">
        <v>424</v>
      </c>
      <c r="Z19" s="654" t="s">
        <v>424</v>
      </c>
      <c r="AA19" s="654"/>
      <c r="AB19" s="654"/>
      <c r="AC19" s="654"/>
      <c r="AD19" s="654" t="s">
        <v>424</v>
      </c>
      <c r="AE19" s="654"/>
      <c r="AF19" s="654" t="s">
        <v>424</v>
      </c>
      <c r="AG19" s="655" t="s">
        <v>424</v>
      </c>
      <c r="AH19" s="654"/>
      <c r="AI19" s="654"/>
      <c r="AJ19" s="654"/>
      <c r="AK19" s="654" t="s">
        <v>424</v>
      </c>
      <c r="AL19" s="654"/>
      <c r="AM19" s="654" t="s">
        <v>424</v>
      </c>
      <c r="AN19" s="654" t="s">
        <v>424</v>
      </c>
      <c r="AO19" s="654"/>
      <c r="AP19" s="654"/>
      <c r="AQ19" s="654"/>
      <c r="AR19" s="654" t="s">
        <v>424</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
      </c>
      <c r="D20" s="188"/>
      <c r="E20" s="644" t="str">
        <f t="shared" si="6"/>
        <v>ウェイマー</v>
      </c>
      <c r="F20" s="645" t="str">
        <f t="shared" si="7"/>
        <v>#N/A</v>
      </c>
      <c r="G20" s="188"/>
      <c r="H20" s="188"/>
      <c r="I20" s="168" t="b">
        <v>0</v>
      </c>
      <c r="J20" s="624"/>
      <c r="K20" s="646" t="s">
        <v>585</v>
      </c>
      <c r="L20" s="647" t="s">
        <v>479</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479</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
      </c>
      <c r="D22" s="188"/>
      <c r="E22" s="644" t="str">
        <f t="shared" si="6"/>
        <v>グループ化開いて
従業員追加</v>
      </c>
      <c r="F22" s="645" t="str">
        <f t="shared" si="7"/>
        <v>#N/A</v>
      </c>
      <c r="G22" s="188"/>
      <c r="H22" s="188"/>
      <c r="I22" s="168" t="b">
        <v>0</v>
      </c>
      <c r="J22" s="624"/>
      <c r="K22" s="646" t="s">
        <v>480</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f t="shared" si="5"/>
        <v>13</v>
      </c>
      <c r="D41" s="188"/>
      <c r="E41" s="644" t="str">
        <f t="shared" si="6"/>
        <v>メイド数</v>
      </c>
      <c r="F41" s="645" t="str">
        <f t="shared" si="7"/>
        <v>#N/A</v>
      </c>
      <c r="G41" s="188"/>
      <c r="H41" s="188"/>
      <c r="I41" s="168" t="b">
        <v>0</v>
      </c>
      <c r="J41" s="624"/>
      <c r="K41" s="646" t="s">
        <v>481</v>
      </c>
      <c r="L41" s="647" t="s">
        <v>479</v>
      </c>
      <c r="M41" s="648" t="s">
        <v>233</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465</v>
      </c>
      <c r="AT41" s="654" t="s">
        <v>465</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f t="shared" si="5"/>
        <v>2</v>
      </c>
      <c r="D42" s="188"/>
      <c r="E42" s="644" t="str">
        <f t="shared" si="6"/>
        <v>パブリック数</v>
      </c>
      <c r="F42" s="645" t="str">
        <f t="shared" si="7"/>
        <v>#N/A</v>
      </c>
      <c r="G42" s="188"/>
      <c r="H42" s="188"/>
      <c r="I42" s="168" t="b">
        <v>0</v>
      </c>
      <c r="J42" s="624"/>
      <c r="K42" s="646" t="s">
        <v>482</v>
      </c>
      <c r="L42" s="647" t="s">
        <v>479</v>
      </c>
      <c r="M42" s="648" t="s">
        <v>427</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465</v>
      </c>
      <c r="AT42" s="654" t="s">
        <v>465</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f t="shared" si="5"/>
        <v>0</v>
      </c>
      <c r="D43" s="188"/>
      <c r="E43" s="644" t="str">
        <f t="shared" si="6"/>
        <v>合計清掃数</v>
      </c>
      <c r="F43" s="645" t="str">
        <f t="shared" si="7"/>
        <v>#N/A</v>
      </c>
      <c r="G43" s="188"/>
      <c r="H43" s="188"/>
      <c r="I43" s="667" t="b">
        <v>0</v>
      </c>
      <c r="J43" s="624"/>
      <c r="K43" s="668" t="s">
        <v>483</v>
      </c>
      <c r="L43" s="669" t="s">
        <v>484</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
      </c>
      <c r="D44" s="188"/>
      <c r="E44" s="644" t="str">
        <f t="shared" si="6"/>
        <v>稼働予定</v>
      </c>
      <c r="F44" s="645" t="str">
        <f t="shared" si="7"/>
        <v>#N/A</v>
      </c>
      <c r="G44" s="188"/>
      <c r="H44" s="188"/>
      <c r="I44" s="168" t="b">
        <v>0</v>
      </c>
      <c r="J44" s="624" t="s">
        <v>485</v>
      </c>
      <c r="K44" s="646"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〇</v>
      </c>
      <c r="D45" s="188"/>
      <c r="E45" s="644" t="str">
        <f t="shared" si="6"/>
        <v>プスカル</v>
      </c>
      <c r="F45" s="645" t="str">
        <f t="shared" si="7"/>
        <v>#N/A</v>
      </c>
      <c r="G45" s="188"/>
      <c r="H45" s="188"/>
      <c r="I45" s="168" t="b">
        <v>0</v>
      </c>
      <c r="J45" s="624"/>
      <c r="K45" s="646" t="s">
        <v>197</v>
      </c>
      <c r="L45" s="647" t="s">
        <v>487</v>
      </c>
      <c r="M45" s="653"/>
      <c r="N45" s="654" t="s">
        <v>233</v>
      </c>
      <c r="O45" s="654"/>
      <c r="P45" s="654" t="s">
        <v>233</v>
      </c>
      <c r="Q45" s="654" t="s">
        <v>233</v>
      </c>
      <c r="R45" s="654" t="s">
        <v>233</v>
      </c>
      <c r="S45" s="654" t="s">
        <v>233</v>
      </c>
      <c r="T45" s="654" t="s">
        <v>233</v>
      </c>
      <c r="U45" s="654" t="s">
        <v>233</v>
      </c>
      <c r="V45" s="654"/>
      <c r="W45" s="654" t="s">
        <v>233</v>
      </c>
      <c r="X45" s="654" t="s">
        <v>233</v>
      </c>
      <c r="Y45" s="654" t="s">
        <v>233</v>
      </c>
      <c r="Z45" s="654" t="s">
        <v>233</v>
      </c>
      <c r="AA45" s="654" t="s">
        <v>233</v>
      </c>
      <c r="AB45" s="654" t="s">
        <v>233</v>
      </c>
      <c r="AC45" s="654"/>
      <c r="AD45" s="654" t="s">
        <v>233</v>
      </c>
      <c r="AE45" s="654" t="s">
        <v>233</v>
      </c>
      <c r="AF45" s="654" t="s">
        <v>233</v>
      </c>
      <c r="AG45" s="655" t="s">
        <v>233</v>
      </c>
      <c r="AH45" s="654" t="s">
        <v>233</v>
      </c>
      <c r="AI45" s="654" t="s">
        <v>233</v>
      </c>
      <c r="AJ45" s="654"/>
      <c r="AK45" s="654" t="s">
        <v>233</v>
      </c>
      <c r="AL45" s="654" t="s">
        <v>233</v>
      </c>
      <c r="AM45" s="654" t="s">
        <v>233</v>
      </c>
      <c r="AN45" s="654" t="s">
        <v>233</v>
      </c>
      <c r="AO45" s="654" t="s">
        <v>233</v>
      </c>
      <c r="AP45" s="654" t="s">
        <v>233</v>
      </c>
      <c r="AQ45" s="654"/>
      <c r="AR45" s="654" t="s">
        <v>233</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
      </c>
      <c r="D46" s="188"/>
      <c r="E46" s="644" t="str">
        <f t="shared" si="6"/>
        <v>モハン</v>
      </c>
      <c r="F46" s="645" t="str">
        <f t="shared" si="7"/>
        <v>#N/A</v>
      </c>
      <c r="G46" s="188"/>
      <c r="H46" s="188"/>
      <c r="I46" s="168" t="b">
        <v>0</v>
      </c>
      <c r="J46" s="624"/>
      <c r="K46" s="646" t="s">
        <v>190</v>
      </c>
      <c r="L46" s="647" t="s">
        <v>487</v>
      </c>
      <c r="M46" s="653"/>
      <c r="N46" s="654" t="s">
        <v>233</v>
      </c>
      <c r="O46" s="654" t="s">
        <v>233</v>
      </c>
      <c r="P46" s="654"/>
      <c r="Q46" s="654" t="s">
        <v>233</v>
      </c>
      <c r="R46" s="654" t="s">
        <v>233</v>
      </c>
      <c r="S46" s="654" t="s">
        <v>233</v>
      </c>
      <c r="T46" s="654" t="s">
        <v>233</v>
      </c>
      <c r="U46" s="654" t="s">
        <v>233</v>
      </c>
      <c r="V46" s="654" t="s">
        <v>233</v>
      </c>
      <c r="W46" s="654"/>
      <c r="X46" s="654" t="s">
        <v>233</v>
      </c>
      <c r="Y46" s="654" t="s">
        <v>233</v>
      </c>
      <c r="Z46" s="654" t="s">
        <v>233</v>
      </c>
      <c r="AA46" s="654" t="s">
        <v>233</v>
      </c>
      <c r="AB46" s="654" t="s">
        <v>233</v>
      </c>
      <c r="AC46" s="654" t="s">
        <v>233</v>
      </c>
      <c r="AD46" s="654"/>
      <c r="AE46" s="654" t="s">
        <v>233</v>
      </c>
      <c r="AF46" s="654" t="s">
        <v>233</v>
      </c>
      <c r="AG46" s="655" t="s">
        <v>233</v>
      </c>
      <c r="AH46" s="654" t="s">
        <v>233</v>
      </c>
      <c r="AI46" s="654" t="s">
        <v>233</v>
      </c>
      <c r="AJ46" s="654" t="s">
        <v>233</v>
      </c>
      <c r="AK46" s="654"/>
      <c r="AL46" s="654" t="s">
        <v>233</v>
      </c>
      <c r="AM46" s="654" t="s">
        <v>233</v>
      </c>
      <c r="AN46" s="654" t="s">
        <v>233</v>
      </c>
      <c r="AO46" s="654" t="s">
        <v>233</v>
      </c>
      <c r="AP46" s="654" t="s">
        <v>233</v>
      </c>
      <c r="AQ46" s="654" t="s">
        <v>233</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
      </c>
      <c r="D47" s="188"/>
      <c r="E47" s="644" t="str">
        <f t="shared" si="6"/>
        <v>ナバーロ</v>
      </c>
      <c r="F47" s="645" t="str">
        <f t="shared" si="7"/>
        <v>#N/A</v>
      </c>
      <c r="G47" s="188"/>
      <c r="H47" s="188"/>
      <c r="I47" s="168" t="b">
        <v>0</v>
      </c>
      <c r="J47" s="624"/>
      <c r="K47" s="646" t="s">
        <v>488</v>
      </c>
      <c r="L47" s="647" t="s">
        <v>487</v>
      </c>
      <c r="M47" s="653"/>
      <c r="N47" s="654" t="s">
        <v>233</v>
      </c>
      <c r="O47" s="654" t="s">
        <v>233</v>
      </c>
      <c r="P47" s="654"/>
      <c r="Q47" s="654" t="s">
        <v>233</v>
      </c>
      <c r="R47" s="654" t="s">
        <v>233</v>
      </c>
      <c r="S47" s="654" t="s">
        <v>233</v>
      </c>
      <c r="T47" s="654" t="s">
        <v>233</v>
      </c>
      <c r="U47" s="654" t="s">
        <v>233</v>
      </c>
      <c r="V47" s="654" t="s">
        <v>233</v>
      </c>
      <c r="W47" s="654"/>
      <c r="X47" s="654" t="s">
        <v>233</v>
      </c>
      <c r="Y47" s="654" t="s">
        <v>233</v>
      </c>
      <c r="Z47" s="654" t="s">
        <v>233</v>
      </c>
      <c r="AA47" s="654" t="s">
        <v>233</v>
      </c>
      <c r="AB47" s="654" t="s">
        <v>233</v>
      </c>
      <c r="AC47" s="654" t="s">
        <v>233</v>
      </c>
      <c r="AD47" s="654"/>
      <c r="AE47" s="654" t="s">
        <v>233</v>
      </c>
      <c r="AF47" s="654" t="s">
        <v>233</v>
      </c>
      <c r="AG47" s="655" t="s">
        <v>233</v>
      </c>
      <c r="AH47" s="654" t="s">
        <v>233</v>
      </c>
      <c r="AI47" s="654" t="s">
        <v>233</v>
      </c>
      <c r="AJ47" s="654" t="s">
        <v>233</v>
      </c>
      <c r="AK47" s="654"/>
      <c r="AL47" s="654" t="s">
        <v>233</v>
      </c>
      <c r="AM47" s="654" t="s">
        <v>233</v>
      </c>
      <c r="AN47" s="654" t="s">
        <v>233</v>
      </c>
      <c r="AO47" s="654" t="s">
        <v>233</v>
      </c>
      <c r="AP47" s="654" t="s">
        <v>233</v>
      </c>
      <c r="AQ47" s="654" t="s">
        <v>233</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〇</v>
      </c>
      <c r="D48" s="188"/>
      <c r="E48" s="644" t="str">
        <f t="shared" si="6"/>
        <v>スニタ</v>
      </c>
      <c r="F48" s="645" t="str">
        <f t="shared" si="7"/>
        <v>#N/A</v>
      </c>
      <c r="G48" s="188"/>
      <c r="H48" s="188"/>
      <c r="I48" s="168" t="b">
        <v>0</v>
      </c>
      <c r="J48" s="624"/>
      <c r="K48" s="646" t="s">
        <v>489</v>
      </c>
      <c r="L48" s="647" t="s">
        <v>487</v>
      </c>
      <c r="M48" s="653"/>
      <c r="N48" s="654" t="s">
        <v>233</v>
      </c>
      <c r="O48" s="654"/>
      <c r="P48" s="654" t="s">
        <v>233</v>
      </c>
      <c r="Q48" s="654" t="s">
        <v>233</v>
      </c>
      <c r="R48" s="654" t="s">
        <v>233</v>
      </c>
      <c r="S48" s="654" t="s">
        <v>233</v>
      </c>
      <c r="T48" s="654" t="s">
        <v>233</v>
      </c>
      <c r="U48" s="654" t="s">
        <v>233</v>
      </c>
      <c r="V48" s="654"/>
      <c r="W48" s="654" t="s">
        <v>233</v>
      </c>
      <c r="X48" s="654" t="s">
        <v>233</v>
      </c>
      <c r="Y48" s="654" t="s">
        <v>233</v>
      </c>
      <c r="Z48" s="654" t="s">
        <v>233</v>
      </c>
      <c r="AA48" s="654" t="s">
        <v>233</v>
      </c>
      <c r="AB48" s="654" t="s">
        <v>233</v>
      </c>
      <c r="AC48" s="654"/>
      <c r="AD48" s="654" t="s">
        <v>233</v>
      </c>
      <c r="AE48" s="654" t="s">
        <v>233</v>
      </c>
      <c r="AF48" s="654" t="s">
        <v>233</v>
      </c>
      <c r="AG48" s="655" t="s">
        <v>233</v>
      </c>
      <c r="AH48" s="654" t="s">
        <v>233</v>
      </c>
      <c r="AI48" s="654" t="s">
        <v>233</v>
      </c>
      <c r="AJ48" s="654"/>
      <c r="AK48" s="654" t="s">
        <v>233</v>
      </c>
      <c r="AL48" s="654" t="s">
        <v>233</v>
      </c>
      <c r="AM48" s="654" t="s">
        <v>233</v>
      </c>
      <c r="AN48" s="654" t="s">
        <v>233</v>
      </c>
      <c r="AO48" s="654" t="s">
        <v>233</v>
      </c>
      <c r="AP48" s="654" t="s">
        <v>233</v>
      </c>
      <c r="AQ48" s="654"/>
      <c r="AR48" s="654" t="s">
        <v>233</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
      </c>
      <c r="D49" s="188"/>
      <c r="E49" s="644" t="str">
        <f t="shared" si="6"/>
        <v>ジャスミン</v>
      </c>
      <c r="F49" s="645" t="str">
        <f t="shared" si="7"/>
        <v>#N/A</v>
      </c>
      <c r="G49" s="188"/>
      <c r="H49" s="188"/>
      <c r="I49" s="168" t="b">
        <v>0</v>
      </c>
      <c r="J49" s="624"/>
      <c r="K49" s="664" t="s">
        <v>490</v>
      </c>
      <c r="L49" s="647" t="s">
        <v>487</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〇</v>
      </c>
      <c r="D50" s="188"/>
      <c r="E50" s="644" t="str">
        <f t="shared" si="6"/>
        <v>シタ</v>
      </c>
      <c r="F50" s="645" t="str">
        <f t="shared" si="7"/>
        <v>#N/A</v>
      </c>
      <c r="G50" s="188"/>
      <c r="H50" s="188"/>
      <c r="I50" s="168" t="b">
        <v>0</v>
      </c>
      <c r="J50" s="624"/>
      <c r="K50" s="664" t="s">
        <v>491</v>
      </c>
      <c r="L50" s="647" t="s">
        <v>487</v>
      </c>
      <c r="M50" s="653"/>
      <c r="N50" s="654" t="s">
        <v>233</v>
      </c>
      <c r="O50" s="654" t="s">
        <v>233</v>
      </c>
      <c r="P50" s="654" t="s">
        <v>233</v>
      </c>
      <c r="Q50" s="654" t="s">
        <v>233</v>
      </c>
      <c r="R50" s="654"/>
      <c r="S50" s="654"/>
      <c r="T50" s="654"/>
      <c r="U50" s="654" t="s">
        <v>233</v>
      </c>
      <c r="V50" s="654" t="s">
        <v>233</v>
      </c>
      <c r="W50" s="654" t="s">
        <v>233</v>
      </c>
      <c r="X50" s="654" t="s">
        <v>233</v>
      </c>
      <c r="Y50" s="654"/>
      <c r="Z50" s="654"/>
      <c r="AA50" s="654"/>
      <c r="AB50" s="654" t="s">
        <v>233</v>
      </c>
      <c r="AC50" s="654" t="s">
        <v>233</v>
      </c>
      <c r="AD50" s="654" t="s">
        <v>233</v>
      </c>
      <c r="AE50" s="654" t="s">
        <v>233</v>
      </c>
      <c r="AF50" s="654"/>
      <c r="AG50" s="655"/>
      <c r="AH50" s="654"/>
      <c r="AI50" s="654" t="s">
        <v>233</v>
      </c>
      <c r="AJ50" s="654" t="s">
        <v>233</v>
      </c>
      <c r="AK50" s="654" t="s">
        <v>233</v>
      </c>
      <c r="AL50" s="654" t="s">
        <v>233</v>
      </c>
      <c r="AM50" s="654"/>
      <c r="AN50" s="654"/>
      <c r="AO50" s="654"/>
      <c r="AP50" s="654" t="s">
        <v>233</v>
      </c>
      <c r="AQ50" s="654" t="s">
        <v>233</v>
      </c>
      <c r="AR50" s="654" t="s">
        <v>233</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
      </c>
      <c r="D51" s="188"/>
      <c r="E51" s="644" t="str">
        <f t="shared" si="6"/>
        <v>アンドレイ</v>
      </c>
      <c r="F51" s="645" t="str">
        <f t="shared" si="7"/>
        <v>#N/A</v>
      </c>
      <c r="G51" s="188"/>
      <c r="H51" s="188"/>
      <c r="I51" s="168" t="b">
        <v>0</v>
      </c>
      <c r="J51" s="624"/>
      <c r="K51" s="664" t="s">
        <v>492</v>
      </c>
      <c r="L51" s="647" t="s">
        <v>487</v>
      </c>
      <c r="M51" s="653"/>
      <c r="N51" s="654" t="s">
        <v>233</v>
      </c>
      <c r="O51" s="654" t="s">
        <v>233</v>
      </c>
      <c r="P51" s="654"/>
      <c r="Q51" s="654" t="s">
        <v>233</v>
      </c>
      <c r="R51" s="654" t="s">
        <v>233</v>
      </c>
      <c r="S51" s="654" t="s">
        <v>233</v>
      </c>
      <c r="T51" s="654" t="s">
        <v>233</v>
      </c>
      <c r="U51" s="654" t="s">
        <v>233</v>
      </c>
      <c r="V51" s="654" t="s">
        <v>233</v>
      </c>
      <c r="W51" s="654"/>
      <c r="X51" s="654" t="s">
        <v>233</v>
      </c>
      <c r="Y51" s="654" t="s">
        <v>233</v>
      </c>
      <c r="Z51" s="654" t="s">
        <v>233</v>
      </c>
      <c r="AA51" s="654" t="s">
        <v>233</v>
      </c>
      <c r="AB51" s="654" t="s">
        <v>233</v>
      </c>
      <c r="AC51" s="654" t="s">
        <v>233</v>
      </c>
      <c r="AD51" s="654"/>
      <c r="AE51" s="654" t="s">
        <v>233</v>
      </c>
      <c r="AF51" s="654" t="s">
        <v>233</v>
      </c>
      <c r="AG51" s="655" t="s">
        <v>233</v>
      </c>
      <c r="AH51" s="654" t="s">
        <v>233</v>
      </c>
      <c r="AI51" s="654" t="s">
        <v>233</v>
      </c>
      <c r="AJ51" s="654" t="s">
        <v>233</v>
      </c>
      <c r="AK51" s="654"/>
      <c r="AL51" s="654" t="s">
        <v>233</v>
      </c>
      <c r="AM51" s="654" t="s">
        <v>233</v>
      </c>
      <c r="AN51" s="654" t="s">
        <v>233</v>
      </c>
      <c r="AO51" s="654" t="s">
        <v>233</v>
      </c>
      <c r="AP51" s="654" t="s">
        <v>233</v>
      </c>
      <c r="AQ51" s="654" t="s">
        <v>233</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〇</v>
      </c>
      <c r="D52" s="188"/>
      <c r="E52" s="644" t="str">
        <f t="shared" si="6"/>
        <v>ラリー</v>
      </c>
      <c r="F52" s="645" t="str">
        <f t="shared" si="7"/>
        <v>#N/A</v>
      </c>
      <c r="G52" s="188"/>
      <c r="H52" s="188"/>
      <c r="I52" s="168" t="b">
        <v>0</v>
      </c>
      <c r="J52" s="624"/>
      <c r="K52" s="664" t="s">
        <v>157</v>
      </c>
      <c r="L52" s="647" t="s">
        <v>487</v>
      </c>
      <c r="M52" s="648"/>
      <c r="N52" s="654" t="s">
        <v>233</v>
      </c>
      <c r="O52" s="654"/>
      <c r="P52" s="654"/>
      <c r="Q52" s="654"/>
      <c r="R52" s="654"/>
      <c r="S52" s="654"/>
      <c r="T52" s="654" t="s">
        <v>233</v>
      </c>
      <c r="U52" s="654" t="s">
        <v>233</v>
      </c>
      <c r="V52" s="654"/>
      <c r="W52" s="654"/>
      <c r="X52" s="654"/>
      <c r="Y52" s="654"/>
      <c r="Z52" s="654"/>
      <c r="AA52" s="654" t="s">
        <v>233</v>
      </c>
      <c r="AB52" s="654"/>
      <c r="AC52" s="654"/>
      <c r="AD52" s="654" t="s">
        <v>233</v>
      </c>
      <c r="AE52" s="654" t="s">
        <v>233</v>
      </c>
      <c r="AF52" s="654" t="s">
        <v>233</v>
      </c>
      <c r="AG52" s="655"/>
      <c r="AH52" s="654"/>
      <c r="AI52" s="654"/>
      <c r="AJ52" s="654" t="s">
        <v>233</v>
      </c>
      <c r="AK52" s="654" t="s">
        <v>233</v>
      </c>
      <c r="AL52" s="654" t="s">
        <v>233</v>
      </c>
      <c r="AM52" s="654" t="s">
        <v>233</v>
      </c>
      <c r="AN52" s="654" t="s">
        <v>233</v>
      </c>
      <c r="AO52" s="654"/>
      <c r="AP52" s="654"/>
      <c r="AQ52" s="654" t="s">
        <v>233</v>
      </c>
      <c r="AR52" s="654" t="s">
        <v>233</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
      </c>
      <c r="D53" s="188"/>
      <c r="E53" s="644" t="str">
        <f t="shared" si="6"/>
        <v>ソバ</v>
      </c>
      <c r="F53" s="645" t="str">
        <f t="shared" si="7"/>
        <v>#N/A</v>
      </c>
      <c r="G53" s="188"/>
      <c r="H53" s="188"/>
      <c r="I53" s="168" t="b">
        <v>0</v>
      </c>
      <c r="J53" s="624"/>
      <c r="K53" s="664" t="s">
        <v>204</v>
      </c>
      <c r="L53" s="647" t="s">
        <v>487</v>
      </c>
      <c r="M53" s="648"/>
      <c r="N53" s="654" t="s">
        <v>233</v>
      </c>
      <c r="O53" s="654" t="s">
        <v>233</v>
      </c>
      <c r="P53" s="654"/>
      <c r="Q53" s="654" t="s">
        <v>233</v>
      </c>
      <c r="R53" s="654" t="s">
        <v>233</v>
      </c>
      <c r="S53" s="654" t="s">
        <v>233</v>
      </c>
      <c r="T53" s="654" t="s">
        <v>233</v>
      </c>
      <c r="U53" s="654" t="s">
        <v>233</v>
      </c>
      <c r="V53" s="654" t="s">
        <v>233</v>
      </c>
      <c r="W53" s="654"/>
      <c r="X53" s="654" t="s">
        <v>233</v>
      </c>
      <c r="Y53" s="654" t="s">
        <v>233</v>
      </c>
      <c r="Z53" s="654" t="s">
        <v>233</v>
      </c>
      <c r="AA53" s="654" t="s">
        <v>233</v>
      </c>
      <c r="AB53" s="654" t="s">
        <v>233</v>
      </c>
      <c r="AC53" s="654" t="s">
        <v>233</v>
      </c>
      <c r="AD53" s="654"/>
      <c r="AE53" s="654" t="s">
        <v>233</v>
      </c>
      <c r="AF53" s="654" t="s">
        <v>233</v>
      </c>
      <c r="AG53" s="655" t="s">
        <v>233</v>
      </c>
      <c r="AH53" s="654" t="s">
        <v>233</v>
      </c>
      <c r="AI53" s="654" t="s">
        <v>233</v>
      </c>
      <c r="AJ53" s="654" t="s">
        <v>233</v>
      </c>
      <c r="AK53" s="654"/>
      <c r="AL53" s="654" t="s">
        <v>233</v>
      </c>
      <c r="AM53" s="654" t="s">
        <v>233</v>
      </c>
      <c r="AN53" s="654" t="s">
        <v>233</v>
      </c>
      <c r="AO53" s="654" t="s">
        <v>233</v>
      </c>
      <c r="AP53" s="654" t="s">
        <v>233</v>
      </c>
      <c r="AQ53" s="654" t="s">
        <v>233</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〇</v>
      </c>
      <c r="D54" s="188"/>
      <c r="E54" s="644" t="str">
        <f t="shared" si="6"/>
        <v>サムジャナ</v>
      </c>
      <c r="F54" s="645" t="str">
        <f t="shared" si="7"/>
        <v>#N/A</v>
      </c>
      <c r="G54" s="188"/>
      <c r="H54" s="188"/>
      <c r="I54" s="168" t="b">
        <v>0</v>
      </c>
      <c r="J54" s="624"/>
      <c r="K54" s="664" t="s">
        <v>103</v>
      </c>
      <c r="L54" s="647" t="s">
        <v>487</v>
      </c>
      <c r="M54" s="653"/>
      <c r="N54" s="654" t="s">
        <v>233</v>
      </c>
      <c r="O54" s="654" t="s">
        <v>233</v>
      </c>
      <c r="P54" s="654" t="s">
        <v>233</v>
      </c>
      <c r="Q54" s="654"/>
      <c r="R54" s="654" t="s">
        <v>233</v>
      </c>
      <c r="S54" s="654" t="s">
        <v>233</v>
      </c>
      <c r="T54" s="654" t="s">
        <v>233</v>
      </c>
      <c r="U54" s="654" t="s">
        <v>233</v>
      </c>
      <c r="V54" s="654"/>
      <c r="W54" s="654" t="s">
        <v>233</v>
      </c>
      <c r="X54" s="654"/>
      <c r="Y54" s="654" t="s">
        <v>233</v>
      </c>
      <c r="Z54" s="654" t="s">
        <v>233</v>
      </c>
      <c r="AA54" s="654" t="s">
        <v>233</v>
      </c>
      <c r="AB54" s="654" t="s">
        <v>233</v>
      </c>
      <c r="AC54" s="654" t="s">
        <v>233</v>
      </c>
      <c r="AD54" s="654" t="s">
        <v>233</v>
      </c>
      <c r="AE54" s="654"/>
      <c r="AF54" s="654" t="s">
        <v>233</v>
      </c>
      <c r="AG54" s="655" t="s">
        <v>233</v>
      </c>
      <c r="AH54" s="654" t="s">
        <v>233</v>
      </c>
      <c r="AI54" s="654" t="s">
        <v>233</v>
      </c>
      <c r="AJ54" s="654" t="s">
        <v>233</v>
      </c>
      <c r="AK54" s="654" t="s">
        <v>233</v>
      </c>
      <c r="AL54" s="654"/>
      <c r="AM54" s="654" t="s">
        <v>233</v>
      </c>
      <c r="AN54" s="654" t="s">
        <v>233</v>
      </c>
      <c r="AO54" s="654" t="s">
        <v>233</v>
      </c>
      <c r="AP54" s="654" t="s">
        <v>233</v>
      </c>
      <c r="AQ54" s="654" t="s">
        <v>233</v>
      </c>
      <c r="AR54" s="654" t="s">
        <v>233</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〇</v>
      </c>
      <c r="D55" s="188"/>
      <c r="E55" s="644" t="str">
        <f t="shared" si="6"/>
        <v>ビマラ</v>
      </c>
      <c r="F55" s="645" t="str">
        <f t="shared" si="7"/>
        <v>#N/A</v>
      </c>
      <c r="G55" s="188"/>
      <c r="H55" s="188"/>
      <c r="I55" s="168" t="b">
        <v>0</v>
      </c>
      <c r="J55" s="624"/>
      <c r="K55" s="664" t="s">
        <v>493</v>
      </c>
      <c r="L55" s="647" t="s">
        <v>487</v>
      </c>
      <c r="M55" s="653"/>
      <c r="N55" s="654" t="s">
        <v>233</v>
      </c>
      <c r="O55" s="654"/>
      <c r="P55" s="654" t="s">
        <v>233</v>
      </c>
      <c r="Q55" s="654" t="s">
        <v>233</v>
      </c>
      <c r="R55" s="654" t="s">
        <v>233</v>
      </c>
      <c r="S55" s="654" t="s">
        <v>233</v>
      </c>
      <c r="T55" s="654" t="s">
        <v>233</v>
      </c>
      <c r="U55" s="654" t="s">
        <v>233</v>
      </c>
      <c r="V55" s="654"/>
      <c r="W55" s="654" t="s">
        <v>233</v>
      </c>
      <c r="X55" s="654" t="s">
        <v>233</v>
      </c>
      <c r="Y55" s="654" t="s">
        <v>233</v>
      </c>
      <c r="Z55" s="654" t="s">
        <v>233</v>
      </c>
      <c r="AA55" s="654" t="s">
        <v>233</v>
      </c>
      <c r="AB55" s="654" t="s">
        <v>233</v>
      </c>
      <c r="AC55" s="654"/>
      <c r="AD55" s="654" t="s">
        <v>233</v>
      </c>
      <c r="AE55" s="654" t="s">
        <v>233</v>
      </c>
      <c r="AF55" s="654" t="s">
        <v>233</v>
      </c>
      <c r="AG55" s="655" t="s">
        <v>233</v>
      </c>
      <c r="AH55" s="654" t="s">
        <v>233</v>
      </c>
      <c r="AI55" s="654" t="s">
        <v>233</v>
      </c>
      <c r="AJ55" s="654"/>
      <c r="AK55" s="654" t="s">
        <v>233</v>
      </c>
      <c r="AL55" s="654" t="s">
        <v>233</v>
      </c>
      <c r="AM55" s="654" t="s">
        <v>233</v>
      </c>
      <c r="AN55" s="654" t="s">
        <v>233</v>
      </c>
      <c r="AO55" s="654" t="s">
        <v>233</v>
      </c>
      <c r="AP55" s="654" t="s">
        <v>233</v>
      </c>
      <c r="AQ55" s="654"/>
      <c r="AR55" s="654" t="s">
        <v>233</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〇</v>
      </c>
      <c r="D56" s="188"/>
      <c r="E56" s="644" t="str">
        <f t="shared" si="6"/>
        <v>ススマ</v>
      </c>
      <c r="F56" s="645" t="str">
        <f t="shared" si="7"/>
        <v>#N/A</v>
      </c>
      <c r="G56" s="188"/>
      <c r="H56" s="188"/>
      <c r="I56" s="168" t="b">
        <v>0</v>
      </c>
      <c r="J56" s="624"/>
      <c r="K56" s="664" t="s">
        <v>494</v>
      </c>
      <c r="L56" s="647" t="s">
        <v>487</v>
      </c>
      <c r="M56" s="653"/>
      <c r="N56" s="654" t="s">
        <v>233</v>
      </c>
      <c r="O56" s="654" t="s">
        <v>233</v>
      </c>
      <c r="P56" s="654" t="s">
        <v>233</v>
      </c>
      <c r="Q56" s="654" t="s">
        <v>233</v>
      </c>
      <c r="R56" s="654" t="s">
        <v>233</v>
      </c>
      <c r="S56" s="654" t="s">
        <v>233</v>
      </c>
      <c r="T56" s="654"/>
      <c r="U56" s="654" t="s">
        <v>233</v>
      </c>
      <c r="V56" s="654" t="s">
        <v>233</v>
      </c>
      <c r="W56" s="654" t="s">
        <v>233</v>
      </c>
      <c r="X56" s="654" t="s">
        <v>233</v>
      </c>
      <c r="Y56" s="654" t="s">
        <v>233</v>
      </c>
      <c r="Z56" s="654" t="s">
        <v>233</v>
      </c>
      <c r="AA56" s="654"/>
      <c r="AB56" s="654" t="s">
        <v>233</v>
      </c>
      <c r="AC56" s="654" t="s">
        <v>233</v>
      </c>
      <c r="AD56" s="654" t="s">
        <v>233</v>
      </c>
      <c r="AE56" s="654" t="s">
        <v>233</v>
      </c>
      <c r="AF56" s="654" t="s">
        <v>233</v>
      </c>
      <c r="AG56" s="655" t="s">
        <v>233</v>
      </c>
      <c r="AH56" s="654"/>
      <c r="AI56" s="654" t="s">
        <v>233</v>
      </c>
      <c r="AJ56" s="654" t="s">
        <v>233</v>
      </c>
      <c r="AK56" s="654" t="s">
        <v>233</v>
      </c>
      <c r="AL56" s="654" t="s">
        <v>233</v>
      </c>
      <c r="AM56" s="654" t="s">
        <v>233</v>
      </c>
      <c r="AN56" s="654" t="s">
        <v>233</v>
      </c>
      <c r="AO56" s="654"/>
      <c r="AP56" s="654" t="s">
        <v>233</v>
      </c>
      <c r="AQ56" s="654" t="s">
        <v>233</v>
      </c>
      <c r="AR56" s="654" t="s">
        <v>233</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〇</v>
      </c>
      <c r="D57" s="188"/>
      <c r="E57" s="644" t="str">
        <f t="shared" si="6"/>
        <v>コピラ</v>
      </c>
      <c r="F57" s="645" t="str">
        <f t="shared" si="7"/>
        <v>#N/A</v>
      </c>
      <c r="G57" s="188"/>
      <c r="H57" s="188"/>
      <c r="I57" s="168" t="b">
        <v>0</v>
      </c>
      <c r="J57" s="624"/>
      <c r="K57" s="664" t="s">
        <v>495</v>
      </c>
      <c r="L57" s="647" t="s">
        <v>487</v>
      </c>
      <c r="M57" s="653"/>
      <c r="N57" s="654"/>
      <c r="O57" s="654"/>
      <c r="P57" s="654" t="s">
        <v>233</v>
      </c>
      <c r="Q57" s="654"/>
      <c r="R57" s="654" t="s">
        <v>233</v>
      </c>
      <c r="S57" s="654"/>
      <c r="T57" s="654" t="s">
        <v>233</v>
      </c>
      <c r="U57" s="654"/>
      <c r="V57" s="654"/>
      <c r="W57" s="654" t="s">
        <v>233</v>
      </c>
      <c r="X57" s="654"/>
      <c r="Y57" s="654" t="s">
        <v>233</v>
      </c>
      <c r="Z57" s="654"/>
      <c r="AA57" s="654" t="s">
        <v>233</v>
      </c>
      <c r="AB57" s="654"/>
      <c r="AC57" s="654"/>
      <c r="AD57" s="654" t="s">
        <v>233</v>
      </c>
      <c r="AE57" s="654"/>
      <c r="AF57" s="654" t="s">
        <v>233</v>
      </c>
      <c r="AG57" s="655"/>
      <c r="AH57" s="654" t="s">
        <v>233</v>
      </c>
      <c r="AI57" s="654"/>
      <c r="AJ57" s="654"/>
      <c r="AK57" s="654" t="s">
        <v>233</v>
      </c>
      <c r="AL57" s="654"/>
      <c r="AM57" s="654" t="s">
        <v>233</v>
      </c>
      <c r="AN57" s="654"/>
      <c r="AO57" s="654" t="s">
        <v>233</v>
      </c>
      <c r="AP57" s="654"/>
      <c r="AQ57" s="654"/>
      <c r="AR57" s="654" t="s">
        <v>233</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〇</v>
      </c>
      <c r="D58" s="188"/>
      <c r="E58" s="644" t="str">
        <f t="shared" si="6"/>
        <v>バワニ</v>
      </c>
      <c r="F58" s="645" t="str">
        <f t="shared" si="7"/>
        <v>#N/A</v>
      </c>
      <c r="G58" s="188"/>
      <c r="H58" s="188"/>
      <c r="I58" s="168" t="b">
        <v>0</v>
      </c>
      <c r="J58" s="624"/>
      <c r="K58" s="664" t="s">
        <v>496</v>
      </c>
      <c r="L58" s="647" t="s">
        <v>487</v>
      </c>
      <c r="M58" s="653"/>
      <c r="N58" s="654"/>
      <c r="O58" s="654"/>
      <c r="P58" s="654" t="s">
        <v>233</v>
      </c>
      <c r="Q58" s="654" t="s">
        <v>233</v>
      </c>
      <c r="R58" s="654" t="s">
        <v>233</v>
      </c>
      <c r="S58" s="654" t="s">
        <v>233</v>
      </c>
      <c r="T58" s="654"/>
      <c r="U58" s="654"/>
      <c r="V58" s="654"/>
      <c r="W58" s="654" t="s">
        <v>233</v>
      </c>
      <c r="X58" s="654" t="s">
        <v>233</v>
      </c>
      <c r="Y58" s="654" t="s">
        <v>233</v>
      </c>
      <c r="Z58" s="654" t="s">
        <v>233</v>
      </c>
      <c r="AA58" s="654"/>
      <c r="AB58" s="654"/>
      <c r="AC58" s="654"/>
      <c r="AD58" s="654" t="s">
        <v>233</v>
      </c>
      <c r="AE58" s="654" t="s">
        <v>233</v>
      </c>
      <c r="AF58" s="654" t="s">
        <v>233</v>
      </c>
      <c r="AG58" s="655" t="s">
        <v>233</v>
      </c>
      <c r="AH58" s="654"/>
      <c r="AI58" s="654"/>
      <c r="AJ58" s="654"/>
      <c r="AK58" s="654" t="s">
        <v>233</v>
      </c>
      <c r="AL58" s="654" t="s">
        <v>233</v>
      </c>
      <c r="AM58" s="654" t="s">
        <v>233</v>
      </c>
      <c r="AN58" s="654" t="s">
        <v>233</v>
      </c>
      <c r="AO58" s="654"/>
      <c r="AP58" s="654"/>
      <c r="AQ58" s="654"/>
      <c r="AR58" s="654" t="s">
        <v>233</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〇</v>
      </c>
      <c r="D59" s="188"/>
      <c r="E59" s="644" t="str">
        <f t="shared" si="6"/>
        <v>サンジュ</v>
      </c>
      <c r="F59" s="645" t="str">
        <f t="shared" si="7"/>
        <v>#N/A</v>
      </c>
      <c r="G59" s="188"/>
      <c r="H59" s="188"/>
      <c r="I59" s="168" t="b">
        <v>0</v>
      </c>
      <c r="J59" s="624"/>
      <c r="K59" s="664" t="s">
        <v>497</v>
      </c>
      <c r="L59" s="647" t="s">
        <v>487</v>
      </c>
      <c r="M59" s="653"/>
      <c r="N59" s="654" t="s">
        <v>233</v>
      </c>
      <c r="O59" s="654" t="s">
        <v>233</v>
      </c>
      <c r="P59" s="654" t="s">
        <v>233</v>
      </c>
      <c r="Q59" s="654" t="s">
        <v>233</v>
      </c>
      <c r="R59" s="654"/>
      <c r="S59" s="654" t="s">
        <v>233</v>
      </c>
      <c r="T59" s="654" t="s">
        <v>233</v>
      </c>
      <c r="U59" s="654" t="s">
        <v>233</v>
      </c>
      <c r="V59" s="654" t="s">
        <v>233</v>
      </c>
      <c r="W59" s="654" t="s">
        <v>233</v>
      </c>
      <c r="X59" s="654" t="s">
        <v>233</v>
      </c>
      <c r="Y59" s="654"/>
      <c r="Z59" s="654" t="s">
        <v>233</v>
      </c>
      <c r="AA59" s="654" t="s">
        <v>233</v>
      </c>
      <c r="AB59" s="654" t="s">
        <v>233</v>
      </c>
      <c r="AC59" s="654" t="s">
        <v>233</v>
      </c>
      <c r="AD59" s="654" t="s">
        <v>233</v>
      </c>
      <c r="AE59" s="654" t="s">
        <v>233</v>
      </c>
      <c r="AF59" s="654"/>
      <c r="AG59" s="655" t="s">
        <v>233</v>
      </c>
      <c r="AH59" s="654" t="s">
        <v>233</v>
      </c>
      <c r="AI59" s="654" t="s">
        <v>233</v>
      </c>
      <c r="AJ59" s="654" t="s">
        <v>233</v>
      </c>
      <c r="AK59" s="654" t="s">
        <v>233</v>
      </c>
      <c r="AL59" s="654" t="s">
        <v>233</v>
      </c>
      <c r="AM59" s="654"/>
      <c r="AN59" s="654" t="s">
        <v>233</v>
      </c>
      <c r="AO59" s="654" t="s">
        <v>233</v>
      </c>
      <c r="AP59" s="654" t="s">
        <v>233</v>
      </c>
      <c r="AQ59" s="654" t="s">
        <v>233</v>
      </c>
      <c r="AR59" s="654" t="s">
        <v>233</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〇</v>
      </c>
      <c r="D60" s="188"/>
      <c r="E60" s="644" t="str">
        <f t="shared" si="6"/>
        <v>サンジタ</v>
      </c>
      <c r="F60" s="645" t="str">
        <f t="shared" si="7"/>
        <v>#N/A</v>
      </c>
      <c r="G60" s="188"/>
      <c r="H60" s="188"/>
      <c r="I60" s="168" t="b">
        <v>0</v>
      </c>
      <c r="J60" s="624"/>
      <c r="K60" s="664" t="s">
        <v>498</v>
      </c>
      <c r="L60" s="647" t="s">
        <v>487</v>
      </c>
      <c r="M60" s="653"/>
      <c r="N60" s="654"/>
      <c r="O60" s="654" t="s">
        <v>233</v>
      </c>
      <c r="P60" s="654" t="s">
        <v>233</v>
      </c>
      <c r="Q60" s="654"/>
      <c r="R60" s="654" t="s">
        <v>233</v>
      </c>
      <c r="S60" s="654" t="s">
        <v>233</v>
      </c>
      <c r="T60" s="654" t="s">
        <v>233</v>
      </c>
      <c r="U60" s="654"/>
      <c r="V60" s="654" t="s">
        <v>233</v>
      </c>
      <c r="W60" s="654" t="s">
        <v>233</v>
      </c>
      <c r="X60" s="654"/>
      <c r="Y60" s="654" t="s">
        <v>233</v>
      </c>
      <c r="Z60" s="654" t="s">
        <v>233</v>
      </c>
      <c r="AA60" s="654" t="s">
        <v>233</v>
      </c>
      <c r="AB60" s="654"/>
      <c r="AC60" s="654" t="s">
        <v>233</v>
      </c>
      <c r="AD60" s="654" t="s">
        <v>233</v>
      </c>
      <c r="AE60" s="654"/>
      <c r="AF60" s="654" t="s">
        <v>233</v>
      </c>
      <c r="AG60" s="655" t="s">
        <v>233</v>
      </c>
      <c r="AH60" s="654" t="s">
        <v>233</v>
      </c>
      <c r="AI60" s="654"/>
      <c r="AJ60" s="654" t="s">
        <v>233</v>
      </c>
      <c r="AK60" s="654" t="s">
        <v>233</v>
      </c>
      <c r="AL60" s="654"/>
      <c r="AM60" s="654" t="s">
        <v>233</v>
      </c>
      <c r="AN60" s="654" t="s">
        <v>233</v>
      </c>
      <c r="AO60" s="654" t="s">
        <v>233</v>
      </c>
      <c r="AP60" s="654"/>
      <c r="AQ60" s="654" t="s">
        <v>233</v>
      </c>
      <c r="AR60" s="654" t="s">
        <v>233</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〇</v>
      </c>
      <c r="D61" s="188"/>
      <c r="E61" s="644" t="str">
        <f t="shared" si="6"/>
        <v>カマラ</v>
      </c>
      <c r="F61" s="645" t="str">
        <f t="shared" si="7"/>
        <v>#N/A</v>
      </c>
      <c r="G61" s="188"/>
      <c r="H61" s="188"/>
      <c r="I61" s="168" t="b">
        <v>0</v>
      </c>
      <c r="J61" s="624"/>
      <c r="K61" s="664" t="s">
        <v>499</v>
      </c>
      <c r="L61" s="647" t="s">
        <v>487</v>
      </c>
      <c r="M61" s="653"/>
      <c r="N61" s="654" t="s">
        <v>233</v>
      </c>
      <c r="O61" s="654" t="s">
        <v>233</v>
      </c>
      <c r="P61" s="654" t="s">
        <v>233</v>
      </c>
      <c r="Q61" s="654" t="s">
        <v>233</v>
      </c>
      <c r="R61" s="654" t="s">
        <v>233</v>
      </c>
      <c r="S61" s="654"/>
      <c r="T61" s="654" t="s">
        <v>233</v>
      </c>
      <c r="U61" s="654" t="s">
        <v>233</v>
      </c>
      <c r="V61" s="654" t="s">
        <v>233</v>
      </c>
      <c r="W61" s="654" t="s">
        <v>233</v>
      </c>
      <c r="X61" s="654" t="s">
        <v>233</v>
      </c>
      <c r="Y61" s="654" t="s">
        <v>233</v>
      </c>
      <c r="Z61" s="654"/>
      <c r="AA61" s="654" t="s">
        <v>233</v>
      </c>
      <c r="AB61" s="654" t="s">
        <v>233</v>
      </c>
      <c r="AC61" s="654" t="s">
        <v>233</v>
      </c>
      <c r="AD61" s="654" t="s">
        <v>233</v>
      </c>
      <c r="AE61" s="654" t="s">
        <v>233</v>
      </c>
      <c r="AF61" s="654" t="s">
        <v>233</v>
      </c>
      <c r="AG61" s="655"/>
      <c r="AH61" s="654" t="s">
        <v>233</v>
      </c>
      <c r="AI61" s="654" t="s">
        <v>233</v>
      </c>
      <c r="AJ61" s="654" t="s">
        <v>233</v>
      </c>
      <c r="AK61" s="654" t="s">
        <v>233</v>
      </c>
      <c r="AL61" s="654" t="s">
        <v>233</v>
      </c>
      <c r="AM61" s="654" t="s">
        <v>233</v>
      </c>
      <c r="AN61" s="654"/>
      <c r="AO61" s="654" t="s">
        <v>233</v>
      </c>
      <c r="AP61" s="654" t="s">
        <v>233</v>
      </c>
      <c r="AQ61" s="654" t="s">
        <v>233</v>
      </c>
      <c r="AR61" s="654" t="s">
        <v>233</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
      </c>
      <c r="D62" s="188"/>
      <c r="E62" s="644" t="str">
        <f t="shared" si="6"/>
        <v>サンティ</v>
      </c>
      <c r="F62" s="645" t="str">
        <f t="shared" si="7"/>
        <v>#N/A</v>
      </c>
      <c r="G62" s="188"/>
      <c r="H62" s="188"/>
      <c r="I62" s="168" t="b">
        <v>0</v>
      </c>
      <c r="J62" s="624"/>
      <c r="K62" s="664" t="s">
        <v>137</v>
      </c>
      <c r="L62" s="647" t="s">
        <v>487</v>
      </c>
      <c r="M62" s="653"/>
      <c r="N62" s="654" t="s">
        <v>233</v>
      </c>
      <c r="O62" s="654"/>
      <c r="P62" s="654"/>
      <c r="Q62" s="654"/>
      <c r="R62" s="654" t="s">
        <v>233</v>
      </c>
      <c r="S62" s="654" t="s">
        <v>233</v>
      </c>
      <c r="T62" s="654" t="s">
        <v>233</v>
      </c>
      <c r="U62" s="654" t="s">
        <v>233</v>
      </c>
      <c r="V62" s="654"/>
      <c r="W62" s="654"/>
      <c r="X62" s="654"/>
      <c r="Y62" s="654"/>
      <c r="Z62" s="654" t="s">
        <v>233</v>
      </c>
      <c r="AA62" s="654" t="s">
        <v>233</v>
      </c>
      <c r="AB62" s="654" t="s">
        <v>233</v>
      </c>
      <c r="AC62" s="654"/>
      <c r="AD62" s="654"/>
      <c r="AE62" s="654"/>
      <c r="AF62" s="654" t="s">
        <v>233</v>
      </c>
      <c r="AG62" s="655" t="s">
        <v>233</v>
      </c>
      <c r="AH62" s="654" t="s">
        <v>233</v>
      </c>
      <c r="AI62" s="654" t="s">
        <v>233</v>
      </c>
      <c r="AJ62" s="654"/>
      <c r="AK62" s="654"/>
      <c r="AL62" s="654"/>
      <c r="AM62" s="654" t="s">
        <v>233</v>
      </c>
      <c r="AN62" s="654" t="s">
        <v>233</v>
      </c>
      <c r="AO62" s="654" t="s">
        <v>233</v>
      </c>
      <c r="AP62" s="654" t="s">
        <v>233</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
      </c>
      <c r="D63" s="188"/>
      <c r="E63" s="644" t="str">
        <f t="shared" si="6"/>
        <v>タパ</v>
      </c>
      <c r="F63" s="645" t="str">
        <f t="shared" si="7"/>
        <v>#N/A</v>
      </c>
      <c r="G63" s="188"/>
      <c r="H63" s="188"/>
      <c r="I63" s="168" t="b">
        <v>0</v>
      </c>
      <c r="J63" s="624"/>
      <c r="K63" s="664" t="s">
        <v>586</v>
      </c>
      <c r="L63" s="647" t="s">
        <v>500</v>
      </c>
      <c r="M63" s="653"/>
      <c r="N63" s="654" t="s">
        <v>233</v>
      </c>
      <c r="O63" s="654"/>
      <c r="P63" s="654"/>
      <c r="Q63" s="654"/>
      <c r="R63" s="654"/>
      <c r="S63" s="654" t="s">
        <v>233</v>
      </c>
      <c r="T63" s="654" t="s">
        <v>233</v>
      </c>
      <c r="U63" s="654" t="s">
        <v>233</v>
      </c>
      <c r="V63" s="654"/>
      <c r="W63" s="654"/>
      <c r="X63" s="654"/>
      <c r="Y63" s="654"/>
      <c r="Z63" s="654" t="s">
        <v>233</v>
      </c>
      <c r="AA63" s="654" t="s">
        <v>233</v>
      </c>
      <c r="AB63" s="654" t="s">
        <v>233</v>
      </c>
      <c r="AC63" s="654"/>
      <c r="AD63" s="654"/>
      <c r="AE63" s="654"/>
      <c r="AF63" s="654"/>
      <c r="AG63" s="655" t="s">
        <v>233</v>
      </c>
      <c r="AH63" s="654" t="s">
        <v>233</v>
      </c>
      <c r="AI63" s="654" t="s">
        <v>233</v>
      </c>
      <c r="AJ63" s="654"/>
      <c r="AK63" s="654"/>
      <c r="AL63" s="654"/>
      <c r="AM63" s="654"/>
      <c r="AN63" s="654" t="s">
        <v>233</v>
      </c>
      <c r="AO63" s="654" t="s">
        <v>233</v>
      </c>
      <c r="AP63" s="654" t="s">
        <v>233</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201</v>
      </c>
      <c r="L64" s="647" t="s">
        <v>500</v>
      </c>
      <c r="M64" s="653"/>
      <c r="N64" s="654"/>
      <c r="O64" s="654" t="s">
        <v>233</v>
      </c>
      <c r="P64" s="654" t="s">
        <v>233</v>
      </c>
      <c r="Q64" s="654" t="s">
        <v>233</v>
      </c>
      <c r="R64" s="654" t="s">
        <v>233</v>
      </c>
      <c r="S64" s="654"/>
      <c r="T64" s="654"/>
      <c r="U64" s="654"/>
      <c r="V64" s="654" t="s">
        <v>233</v>
      </c>
      <c r="W64" s="654" t="s">
        <v>233</v>
      </c>
      <c r="X64" s="654" t="s">
        <v>233</v>
      </c>
      <c r="Y64" s="654" t="s">
        <v>233</v>
      </c>
      <c r="Z64" s="654"/>
      <c r="AA64" s="654"/>
      <c r="AB64" s="654"/>
      <c r="AC64" s="654" t="s">
        <v>233</v>
      </c>
      <c r="AD64" s="654" t="s">
        <v>233</v>
      </c>
      <c r="AE64" s="654" t="s">
        <v>233</v>
      </c>
      <c r="AF64" s="654" t="s">
        <v>233</v>
      </c>
      <c r="AG64" s="655"/>
      <c r="AH64" s="654"/>
      <c r="AI64" s="654"/>
      <c r="AJ64" s="654" t="s">
        <v>233</v>
      </c>
      <c r="AK64" s="654" t="s">
        <v>233</v>
      </c>
      <c r="AL64" s="654" t="s">
        <v>233</v>
      </c>
      <c r="AM64" s="654" t="s">
        <v>233</v>
      </c>
      <c r="AN64" s="654"/>
      <c r="AO64" s="654"/>
      <c r="AP64" s="654"/>
      <c r="AQ64" s="654" t="s">
        <v>233</v>
      </c>
      <c r="AR64" s="654" t="s">
        <v>233</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587</v>
      </c>
      <c r="L65" s="647" t="s">
        <v>500</v>
      </c>
      <c r="M65" s="653"/>
      <c r="N65" s="654"/>
      <c r="O65" s="654" t="s">
        <v>427</v>
      </c>
      <c r="P65" s="654"/>
      <c r="Q65" s="654"/>
      <c r="R65" s="654" t="s">
        <v>427</v>
      </c>
      <c r="S65" s="654" t="s">
        <v>427</v>
      </c>
      <c r="T65" s="654"/>
      <c r="U65" s="654"/>
      <c r="V65" s="654"/>
      <c r="W65" s="654"/>
      <c r="X65" s="654"/>
      <c r="Y65" s="654" t="s">
        <v>427</v>
      </c>
      <c r="Z65" s="654" t="s">
        <v>427</v>
      </c>
      <c r="AA65" s="654"/>
      <c r="AB65" s="654"/>
      <c r="AC65" s="654"/>
      <c r="AD65" s="654"/>
      <c r="AE65" s="654"/>
      <c r="AF65" s="654" t="s">
        <v>427</v>
      </c>
      <c r="AG65" s="655" t="s">
        <v>439</v>
      </c>
      <c r="AH65" s="654"/>
      <c r="AI65" s="654"/>
      <c r="AJ65" s="654" t="s">
        <v>439</v>
      </c>
      <c r="AK65" s="654"/>
      <c r="AL65" s="654"/>
      <c r="AM65" s="654" t="s">
        <v>439</v>
      </c>
      <c r="AN65" s="654" t="s">
        <v>439</v>
      </c>
      <c r="AO65" s="654"/>
      <c r="AP65" s="654"/>
      <c r="AQ65" s="654" t="s">
        <v>439</v>
      </c>
      <c r="AR65" s="649"/>
      <c r="AS65" s="631">
        <v>8.0</v>
      </c>
      <c r="AT65" s="660"/>
      <c r="AU65" s="658"/>
      <c r="AV65" s="658"/>
      <c r="AW65" s="658"/>
      <c r="AX65" s="658"/>
      <c r="AY65" s="658"/>
      <c r="AZ65" s="658"/>
      <c r="BA65" s="658"/>
      <c r="BB65" s="663"/>
      <c r="BC65" s="663"/>
      <c r="BD65" s="663"/>
      <c r="BE65" s="663"/>
      <c r="BF65" s="663"/>
      <c r="BG65" s="663"/>
      <c r="BH65" s="663"/>
      <c r="BI65" s="188"/>
      <c r="BJ65" s="216"/>
      <c r="BK65" s="167" t="s">
        <v>502</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共</v>
      </c>
      <c r="D66" s="188"/>
      <c r="E66" s="644" t="str">
        <f t="shared" ref="E66:E106" si="16">K66</f>
        <v>アルチャナ</v>
      </c>
      <c r="F66" s="645" t="str">
        <f t="shared" ref="F66:F105" si="17">if(E66="","", xlookup($E$7,$N$7:$AR$7,$N66:$AR66))</f>
        <v>#N/A</v>
      </c>
      <c r="G66" s="188"/>
      <c r="H66" s="188"/>
      <c r="I66" s="168" t="b">
        <v>0</v>
      </c>
      <c r="J66" s="624"/>
      <c r="K66" s="664" t="s">
        <v>503</v>
      </c>
      <c r="L66" s="647" t="s">
        <v>500</v>
      </c>
      <c r="M66" s="653"/>
      <c r="N66" s="654"/>
      <c r="O66" s="654"/>
      <c r="P66" s="654"/>
      <c r="Q66" s="654"/>
      <c r="R66" s="654"/>
      <c r="S66" s="654"/>
      <c r="T66" s="654" t="s">
        <v>427</v>
      </c>
      <c r="U66" s="654"/>
      <c r="V66" s="654"/>
      <c r="W66" s="654" t="s">
        <v>427</v>
      </c>
      <c r="X66" s="654"/>
      <c r="Y66" s="654"/>
      <c r="Z66" s="654"/>
      <c r="AA66" s="654" t="s">
        <v>427</v>
      </c>
      <c r="AB66" s="654"/>
      <c r="AC66" s="654"/>
      <c r="AD66" s="654" t="s">
        <v>427</v>
      </c>
      <c r="AE66" s="654"/>
      <c r="AF66" s="654"/>
      <c r="AG66" s="655"/>
      <c r="AH66" s="654" t="s">
        <v>427</v>
      </c>
      <c r="AI66" s="654"/>
      <c r="AJ66" s="654"/>
      <c r="AK66" s="654"/>
      <c r="AL66" s="654"/>
      <c r="AM66" s="654" t="s">
        <v>427</v>
      </c>
      <c r="AN66" s="654"/>
      <c r="AO66" s="654" t="s">
        <v>427</v>
      </c>
      <c r="AP66" s="649"/>
      <c r="AQ66" s="649"/>
      <c r="AR66" s="654" t="s">
        <v>427</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共</v>
      </c>
      <c r="D67" s="188"/>
      <c r="E67" s="644" t="str">
        <f t="shared" si="16"/>
        <v>ウマ</v>
      </c>
      <c r="F67" s="645" t="str">
        <f t="shared" si="17"/>
        <v>#N/A</v>
      </c>
      <c r="G67" s="188"/>
      <c r="H67" s="188"/>
      <c r="I67" s="168" t="b">
        <v>0</v>
      </c>
      <c r="J67" s="624"/>
      <c r="K67" s="646" t="s">
        <v>501</v>
      </c>
      <c r="L67" s="647" t="s">
        <v>500</v>
      </c>
      <c r="M67" s="653"/>
      <c r="N67" s="649"/>
      <c r="O67" s="654"/>
      <c r="P67" s="654"/>
      <c r="Q67" s="649"/>
      <c r="R67" s="649"/>
      <c r="S67" s="654"/>
      <c r="T67" s="654"/>
      <c r="U67" s="654"/>
      <c r="V67" s="654" t="s">
        <v>427</v>
      </c>
      <c r="W67" s="654"/>
      <c r="X67" s="654"/>
      <c r="Y67" s="654"/>
      <c r="Z67" s="654"/>
      <c r="AA67" s="654"/>
      <c r="AB67" s="654"/>
      <c r="AC67" s="654" t="s">
        <v>427</v>
      </c>
      <c r="AD67" s="654"/>
      <c r="AE67" s="654"/>
      <c r="AF67" s="654"/>
      <c r="AG67" s="655" t="s">
        <v>427</v>
      </c>
      <c r="AH67" s="654"/>
      <c r="AI67" s="649"/>
      <c r="AJ67" s="654" t="s">
        <v>427</v>
      </c>
      <c r="AK67" s="654" t="s">
        <v>427</v>
      </c>
      <c r="AL67" s="649"/>
      <c r="AM67" s="649"/>
      <c r="AN67" s="654" t="s">
        <v>427</v>
      </c>
      <c r="AO67" s="654"/>
      <c r="AP67" s="649"/>
      <c r="AQ67" s="654" t="s">
        <v>427</v>
      </c>
      <c r="AR67" s="654" t="s">
        <v>427</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504</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923" t="s">
        <v>588</v>
      </c>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924" t="s">
        <v>589</v>
      </c>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46082.0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3</v>
      </c>
      <c r="W7" s="717"/>
      <c r="X7" s="708" t="s">
        <v>525</v>
      </c>
      <c r="Y7" s="675"/>
      <c r="Z7" s="675"/>
    </row>
    <row r="8" ht="17.25" customHeight="1" collapsed="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925" t="str">
        <f t="array" ref="V8:V104">xlookup(V7, '🏆皆勤アワード'!P2:DV2,'🏆皆勤アワード'!R4:DX100)</f>
        <v>エマ</v>
      </c>
      <c r="W8" s="729"/>
      <c r="X8" s="730">
        <v>46054.0</v>
      </c>
      <c r="Y8" s="675"/>
      <c r="Z8" s="675"/>
    </row>
    <row r="9" hidden="1" outlineLevel="1">
      <c r="A9" s="675"/>
      <c r="B9" s="731"/>
      <c r="C9" s="732">
        <f>D5</f>
        <v>46082</v>
      </c>
      <c r="D9" s="733" t="str">
        <f>TEXT(C9,"ddd")</f>
        <v>日</v>
      </c>
      <c r="E9" s="734"/>
      <c r="F9" s="735" t="s">
        <v>111</v>
      </c>
      <c r="G9" s="736" t="s">
        <v>590</v>
      </c>
      <c r="H9" s="737"/>
      <c r="I9" s="738">
        <v>0.6576388888888889</v>
      </c>
      <c r="J9" s="737">
        <v>14.0</v>
      </c>
      <c r="K9" s="737">
        <v>2.0</v>
      </c>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196</v>
      </c>
      <c r="W9" s="729"/>
      <c r="X9" s="730">
        <v>46082.0</v>
      </c>
      <c r="Y9" s="675"/>
      <c r="Z9" s="675"/>
    </row>
    <row r="10" hidden="1"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584</v>
      </c>
      <c r="W10" s="729"/>
      <c r="X10" s="730">
        <v>46113.0</v>
      </c>
      <c r="Y10" s="675"/>
      <c r="Z10" s="675"/>
    </row>
    <row r="11" hidden="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585</v>
      </c>
      <c r="W11" s="729"/>
      <c r="X11" s="730">
        <v>46143.0</v>
      </c>
      <c r="Y11" s="675"/>
      <c r="Z11" s="675"/>
    </row>
    <row r="12" hidden="1"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190</v>
      </c>
      <c r="W12" s="729"/>
      <c r="X12" s="730">
        <v>46174.0</v>
      </c>
      <c r="Y12" s="675"/>
      <c r="Z12" s="675"/>
    </row>
    <row r="13" hidden="1"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157</v>
      </c>
      <c r="W13" s="729"/>
      <c r="X13" s="730">
        <v>46204.0</v>
      </c>
      <c r="Y13" s="675"/>
      <c r="Z13" s="675"/>
    </row>
    <row r="14" hidden="1"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488</v>
      </c>
      <c r="W14" s="729"/>
      <c r="X14" s="730">
        <v>46235.0</v>
      </c>
      <c r="Y14" s="675"/>
      <c r="Z14" s="675"/>
    </row>
    <row r="15" hidden="1"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591</v>
      </c>
      <c r="W15" s="729"/>
      <c r="X15" s="730">
        <v>46266.0</v>
      </c>
      <c r="Y15" s="675"/>
      <c r="Z15" s="675"/>
    </row>
    <row r="16" hidden="1"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592</v>
      </c>
      <c r="W16" s="729"/>
      <c r="X16" s="730">
        <v>46296.0</v>
      </c>
      <c r="Y16" s="675"/>
      <c r="Z16" s="675"/>
    </row>
    <row r="17" hidden="1"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197</v>
      </c>
      <c r="W17" s="729"/>
      <c r="X17" s="730">
        <v>46327.0</v>
      </c>
      <c r="Y17" s="675"/>
      <c r="Z17" s="675"/>
    </row>
    <row r="18" hidden="1"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503</v>
      </c>
      <c r="W18" s="729"/>
      <c r="X18" s="730">
        <v>46357.0</v>
      </c>
      <c r="Y18" s="675"/>
      <c r="Z18" s="675"/>
    </row>
    <row r="19" hidden="1"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491</v>
      </c>
      <c r="W19" s="729"/>
      <c r="X19" s="730">
        <v>46388.0</v>
      </c>
      <c r="Y19" s="675"/>
      <c r="Z19" s="675"/>
    </row>
    <row r="20" hidden="1" outlineLevel="1">
      <c r="A20" s="675"/>
      <c r="B20" s="756"/>
      <c r="C20" s="757">
        <f>IF(C9="","",IF(DAY(C9+1)=1,"",C9+1))</f>
        <v>46083</v>
      </c>
      <c r="D20" s="758" t="str">
        <f>TEXT(C20,"ddd")</f>
        <v>月</v>
      </c>
      <c r="E20" s="759"/>
      <c r="F20" s="760" t="s">
        <v>100</v>
      </c>
      <c r="G20" s="761" t="s">
        <v>593</v>
      </c>
      <c r="H20" s="762"/>
      <c r="I20" s="763">
        <v>0.6493055555555556</v>
      </c>
      <c r="J20" s="762">
        <v>10.0</v>
      </c>
      <c r="K20" s="762">
        <v>1.0</v>
      </c>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587</v>
      </c>
      <c r="W20" s="729"/>
      <c r="X20" s="730"/>
      <c r="Y20" s="675"/>
      <c r="Z20" s="675"/>
    </row>
    <row r="21" hidden="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492</v>
      </c>
      <c r="W21" s="729"/>
      <c r="X21" s="730"/>
      <c r="Y21" s="675"/>
      <c r="Z21" s="675"/>
    </row>
    <row r="22" hidden="1"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103</v>
      </c>
      <c r="W22" s="729"/>
      <c r="X22" s="730"/>
      <c r="Y22" s="675"/>
      <c r="Z22" s="675"/>
    </row>
    <row r="23" hidden="1"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594</v>
      </c>
      <c r="W23" s="675"/>
      <c r="X23" s="770"/>
      <c r="Y23" s="675"/>
      <c r="Z23" s="675"/>
    </row>
    <row r="24" hidden="1"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595</v>
      </c>
      <c r="W24" s="675"/>
      <c r="X24" s="770"/>
      <c r="Y24" s="675"/>
      <c r="Z24" s="675"/>
    </row>
    <row r="25" hidden="1"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596</v>
      </c>
      <c r="W25" s="675"/>
      <c r="X25" s="770"/>
      <c r="Y25" s="675"/>
      <c r="Z25" s="675"/>
    </row>
    <row r="26" hidden="1"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597</v>
      </c>
      <c r="W26" s="675"/>
      <c r="X26" s="770"/>
      <c r="Y26" s="675"/>
      <c r="Z26" s="675"/>
    </row>
    <row r="27" hidden="1"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598</v>
      </c>
      <c r="W27" s="675"/>
      <c r="X27" s="770"/>
      <c r="Y27" s="675"/>
      <c r="Z27" s="675"/>
    </row>
    <row r="28" hidden="1"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599</v>
      </c>
      <c r="W28" s="675"/>
      <c r="X28" s="770"/>
      <c r="Y28" s="675"/>
      <c r="Z28" s="675"/>
    </row>
    <row r="29" ht="68.25" hidden="1" customHeight="1"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137</v>
      </c>
      <c r="W29" s="675"/>
      <c r="X29" s="770"/>
      <c r="Y29" s="675"/>
      <c r="Z29" s="675"/>
    </row>
    <row r="30" hidden="1"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495</v>
      </c>
      <c r="W30" s="675"/>
      <c r="X30" s="770"/>
      <c r="Y30" s="675"/>
      <c r="Z30" s="675"/>
    </row>
    <row r="31" hidden="1" outlineLevel="1">
      <c r="A31" s="675"/>
      <c r="B31" s="774"/>
      <c r="C31" s="775">
        <f>IF(C20="","",IF(DAY(C20+1)=1,"",C20+1))</f>
        <v>46084</v>
      </c>
      <c r="D31" s="776" t="str">
        <f>TEXT(C31,"ddd")</f>
        <v>火</v>
      </c>
      <c r="E31" s="777"/>
      <c r="F31" s="778" t="s">
        <v>147</v>
      </c>
      <c r="G31" s="779" t="s">
        <v>600</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497</v>
      </c>
      <c r="W31" s="675"/>
      <c r="X31" s="770"/>
      <c r="Y31" s="675"/>
      <c r="Z31" s="675"/>
    </row>
    <row r="32" hidden="1"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498</v>
      </c>
      <c r="W32" s="675"/>
      <c r="X32" s="770"/>
      <c r="Y32" s="675"/>
      <c r="Z32" s="675"/>
    </row>
    <row r="33" hidden="1"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499</v>
      </c>
      <c r="W33" s="675"/>
      <c r="X33" s="770"/>
      <c r="Y33" s="675"/>
      <c r="Z33" s="675"/>
    </row>
    <row r="34" hidden="1"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204</v>
      </c>
      <c r="W34" s="675"/>
      <c r="X34" s="770"/>
      <c r="Y34" s="675"/>
      <c r="Z34" s="675"/>
    </row>
    <row r="35" hidden="1"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136</v>
      </c>
      <c r="W35" s="675"/>
      <c r="X35" s="770"/>
      <c r="Y35" s="675"/>
      <c r="Z35" s="675"/>
    </row>
    <row r="36" hidden="1"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586</v>
      </c>
      <c r="W36" s="675"/>
      <c r="X36" s="770"/>
      <c r="Y36" s="675"/>
      <c r="Z36" s="675"/>
    </row>
    <row r="37" hidden="1"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201</v>
      </c>
      <c r="W37" s="675"/>
      <c r="X37" s="770"/>
      <c r="Y37" s="675"/>
      <c r="Z37" s="675"/>
    </row>
    <row r="38" hidden="1"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501</v>
      </c>
      <c r="W38" s="675"/>
      <c r="X38" s="770"/>
      <c r="Y38" s="675"/>
      <c r="Z38" s="675"/>
    </row>
    <row r="39" hidden="1"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490</v>
      </c>
      <c r="W39" s="675"/>
      <c r="X39" s="770"/>
      <c r="Y39" s="675"/>
      <c r="Z39" s="675"/>
    </row>
    <row r="40" ht="75.75" hidden="1" customHeight="1"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925" t="s">
        <v>478</v>
      </c>
      <c r="W40" s="675"/>
      <c r="X40" s="770"/>
      <c r="Y40" s="675"/>
      <c r="Z40" s="675"/>
    </row>
    <row r="41" hidden="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c r="W41" s="675"/>
      <c r="X41" s="770"/>
      <c r="Y41" s="675"/>
      <c r="Z41" s="675"/>
    </row>
    <row r="42" hidden="1" outlineLevel="1">
      <c r="A42" s="675"/>
      <c r="B42" s="756"/>
      <c r="C42" s="757">
        <f>IF(C31="","",IF(DAY(C31+1)=1,"",C31+1))</f>
        <v>46085</v>
      </c>
      <c r="D42" s="758" t="str">
        <f>TEXT(C42,"ddd")</f>
        <v>水</v>
      </c>
      <c r="E42" s="759"/>
      <c r="F42" s="787" t="s">
        <v>147</v>
      </c>
      <c r="G42" s="788" t="s">
        <v>601</v>
      </c>
      <c r="H42" s="789"/>
      <c r="I42" s="790">
        <v>0.6465277777777778</v>
      </c>
      <c r="J42" s="789">
        <v>12.0</v>
      </c>
      <c r="K42" s="789">
        <v>2.0</v>
      </c>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hidden="1"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hidden="1"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hidden="1"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hidden="1"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hidden="1"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hidden="1"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hidden="1"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hidden="1"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hidden="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hidden="1"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hidden="1" outlineLevel="1">
      <c r="A53" s="675"/>
      <c r="B53" s="774"/>
      <c r="C53" s="775">
        <f>IF(C42="","",IF(DAY(C42+1)=1,"",C42+1))</f>
        <v>46086</v>
      </c>
      <c r="D53" s="776" t="str">
        <f>TEXT(C53,"ddd")</f>
        <v>木</v>
      </c>
      <c r="E53" s="777"/>
      <c r="F53" s="778" t="s">
        <v>111</v>
      </c>
      <c r="G53" s="779" t="s">
        <v>602</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hidden="1"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hidden="1"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hidden="1"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hidden="1"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hidden="1"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hidden="1"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hidden="1"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hidden="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hidden="1"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hidden="1"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outlineLevel="1">
      <c r="A65" s="675"/>
      <c r="B65" s="756"/>
      <c r="C65" s="757">
        <f>IF(C53="","",IF(DAY(C53+1)=1,"",C53+1))</f>
        <v>46087</v>
      </c>
      <c r="D65" s="758" t="str">
        <f>TEXT(C65,"ddd")</f>
        <v>金</v>
      </c>
      <c r="E65" s="759"/>
      <c r="F65" s="787" t="s">
        <v>111</v>
      </c>
      <c r="G65" s="788" t="s">
        <v>603</v>
      </c>
      <c r="H65" s="789"/>
      <c r="I65" s="790">
        <v>0.6375</v>
      </c>
      <c r="J65" s="789">
        <v>13.0</v>
      </c>
      <c r="K65" s="789">
        <v>2.0</v>
      </c>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outlineLevel="1">
      <c r="A76" s="675"/>
      <c r="B76" s="774"/>
      <c r="C76" s="775">
        <f>IF(C65="","",IF(DAY(C65+1)=1,"",C65+1))</f>
        <v>46088</v>
      </c>
      <c r="D76" s="776" t="str">
        <f>TEXT(C76,"ddd")</f>
        <v>土</v>
      </c>
      <c r="E76" s="777"/>
      <c r="F76" s="778" t="s">
        <v>100</v>
      </c>
      <c r="G76" s="779" t="s">
        <v>604</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t="66.0" customHeight="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t="25.5" customHeight="1" outlineLevel="1">
      <c r="A87" s="675"/>
      <c r="B87" s="756"/>
      <c r="C87" s="757">
        <f>IF(C76="","",IF(DAY(C76+1)=1,"",C76+1))</f>
        <v>46089</v>
      </c>
      <c r="D87" s="758" t="str">
        <f>TEXT(C87,"ddd")</f>
        <v>日</v>
      </c>
      <c r="E87" s="759"/>
      <c r="F87" s="787" t="s">
        <v>100</v>
      </c>
      <c r="G87" s="788" t="s">
        <v>605</v>
      </c>
      <c r="H87" s="789"/>
      <c r="I87" s="790">
        <v>0.6548611111111111</v>
      </c>
      <c r="J87" s="789">
        <v>14.0</v>
      </c>
      <c r="K87" s="789">
        <v>1.0</v>
      </c>
      <c r="L87" s="768" t="s">
        <v>200</v>
      </c>
      <c r="M87" s="768" t="s">
        <v>606</v>
      </c>
      <c r="N87" s="787"/>
      <c r="O87" s="791"/>
      <c r="P87" s="784"/>
      <c r="Q87" s="785"/>
      <c r="R87" s="675"/>
      <c r="S87" s="216" t="str">
        <f t="array" ref="S87">IFERROR(INDEX('💻シート作成'!$D$6:$D1001, MATCH(T87, '💻シート作成'!$E$6:$E1001, 0)), "")</f>
        <v/>
      </c>
      <c r="T87" s="168"/>
      <c r="U87" s="678"/>
      <c r="V87" s="728"/>
      <c r="W87" s="675"/>
      <c r="X87" s="770"/>
      <c r="Y87" s="675"/>
      <c r="Z87" s="675"/>
    </row>
    <row r="88" ht="25.5" customHeight="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t="25.5" customHeight="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t="25.5" customHeight="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t="25.5" customHeight="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t="25.5" customHeight="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t="25.5" customHeight="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t="25.5" customHeight="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t="25.5" customHeight="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t="25.5" customHeight="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outlineLevel="1">
      <c r="A98" s="675"/>
      <c r="B98" s="774"/>
      <c r="C98" s="775">
        <f>IF(C87="","",IF(DAY(C87+1)=1,"",C87+1))</f>
        <v>46090</v>
      </c>
      <c r="D98" s="776" t="str">
        <f>TEXT(C98,"ddd")</f>
        <v>月</v>
      </c>
      <c r="E98" s="777"/>
      <c r="F98" s="778" t="s">
        <v>100</v>
      </c>
      <c r="G98" s="779" t="s">
        <v>607</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outlineLevel="1">
      <c r="A109" s="675"/>
      <c r="B109" s="756"/>
      <c r="C109" s="757">
        <f>IF(C98="","",IF(DAY(C98+1)=1,"",C98+1))</f>
        <v>46091</v>
      </c>
      <c r="D109" s="758" t="str">
        <f>TEXT(C109,"ddd")</f>
        <v>火</v>
      </c>
      <c r="E109" s="759"/>
      <c r="F109" s="787" t="s">
        <v>119</v>
      </c>
      <c r="G109" s="788" t="s">
        <v>608</v>
      </c>
      <c r="H109" s="789"/>
      <c r="I109" s="790">
        <v>0.6631944444444444</v>
      </c>
      <c r="J109" s="789">
        <v>12.0</v>
      </c>
      <c r="K109" s="789">
        <v>2.0</v>
      </c>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t="120.75" customHeight="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t="21.0" customHeight="1" outlineLevel="1">
      <c r="A121" s="675"/>
      <c r="B121" s="774"/>
      <c r="C121" s="775">
        <f>IF(C109="","",IF(DAY(C109+1)=1,"",C109+1))</f>
        <v>46092</v>
      </c>
      <c r="D121" s="776" t="str">
        <f>TEXT(C121,"ddd")</f>
        <v>水</v>
      </c>
      <c r="E121" s="777"/>
      <c r="F121" s="778" t="s">
        <v>119</v>
      </c>
      <c r="G121" s="779" t="s">
        <v>609</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t="21.0" customHeight="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t="21.0" customHeight="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t="21.0" customHeight="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t="21.0" customHeight="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t="21.0" customHeight="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t="21.0" customHeight="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t="21.0" customHeight="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t="21.0" customHeight="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t="21.0" customHeight="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outlineLevel="1">
      <c r="A132" s="675"/>
      <c r="B132" s="756"/>
      <c r="C132" s="757">
        <f>IF(C121="","",IF(DAY(C121+1)=1,"",C121+1))</f>
        <v>46093</v>
      </c>
      <c r="D132" s="758" t="str">
        <f>TEXT(C132,"ddd")</f>
        <v>木</v>
      </c>
      <c r="E132" s="759"/>
      <c r="F132" s="787" t="s">
        <v>111</v>
      </c>
      <c r="G132" s="788" t="s">
        <v>610</v>
      </c>
      <c r="H132" s="789"/>
      <c r="I132" s="790">
        <v>0.6375</v>
      </c>
      <c r="J132" s="789">
        <v>13.0</v>
      </c>
      <c r="K132" s="789">
        <v>1.0</v>
      </c>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t="24.0" customHeight="1" outlineLevel="1">
      <c r="A143" s="675"/>
      <c r="B143" s="774"/>
      <c r="C143" s="775">
        <f>IF(C132="","",IF(DAY(C132+1)=1,"",C132+1))</f>
        <v>46094</v>
      </c>
      <c r="D143" s="776" t="str">
        <f>TEXT(C143,"ddd")</f>
        <v>金</v>
      </c>
      <c r="E143" s="777"/>
      <c r="F143" s="778" t="s">
        <v>100</v>
      </c>
      <c r="G143" s="779" t="s">
        <v>611</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t="24.0" customHeight="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t="24.0" customHeight="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t="24.0" customHeight="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t="24.0" customHeight="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t="24.0" customHeight="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t="24.0" customHeight="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t="24.0" customHeight="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t="24.0" customHeight="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t="24.0" customHeight="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t="18.75" customHeight="1" outlineLevel="1">
      <c r="A154" s="675"/>
      <c r="B154" s="756"/>
      <c r="C154" s="757">
        <f>IF(C143="","",IF(DAY(C143+1)=1,"",C143+1))</f>
        <v>46095</v>
      </c>
      <c r="D154" s="758" t="str">
        <f>TEXT(C154,"ddd")</f>
        <v>土</v>
      </c>
      <c r="E154" s="759"/>
      <c r="F154" s="787" t="s">
        <v>100</v>
      </c>
      <c r="G154" s="788" t="s">
        <v>612</v>
      </c>
      <c r="H154" s="789"/>
      <c r="I154" s="790">
        <v>0.6666666666666666</v>
      </c>
      <c r="J154" s="789">
        <v>13.0</v>
      </c>
      <c r="K154" s="789">
        <v>1.0</v>
      </c>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t="18.75" customHeight="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t="18.75" customHeight="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t="18.75" customHeight="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t="18.75" customHeight="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t="18.75" customHeight="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t="18.75" customHeight="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t="18.75" customHeight="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t="18.75" customHeight="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t="18.75" customHeight="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t="17.25" customHeight="1" outlineLevel="1">
      <c r="A165" s="675"/>
      <c r="B165" s="774"/>
      <c r="C165" s="775">
        <f>IF(C154="","",IF(DAY(C154+1)=1,"",C154+1))</f>
        <v>46096</v>
      </c>
      <c r="D165" s="776" t="str">
        <f>TEXT(C165,"ddd")</f>
        <v>日</v>
      </c>
      <c r="E165" s="777"/>
      <c r="F165" s="778" t="s">
        <v>100</v>
      </c>
      <c r="G165" s="779" t="s">
        <v>613</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t="17.25" customHeight="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t="17.25" customHeight="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t="17.25" customHeight="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t="17.25" customHeight="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t="17.25" customHeight="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t="17.25" customHeight="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t="17.25" customHeight="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t="17.25" customHeight="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t="17.25" customHeight="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t="20.25" customHeight="1" outlineLevel="1">
      <c r="A177" s="675"/>
      <c r="B177" s="756"/>
      <c r="C177" s="757">
        <f>IF(C165="","",IF(DAY(C165+1)=1,"",C165+1))</f>
        <v>46097</v>
      </c>
      <c r="D177" s="758" t="str">
        <f>TEXT(C177,"ddd")</f>
        <v>月</v>
      </c>
      <c r="E177" s="759"/>
      <c r="F177" s="787" t="s">
        <v>100</v>
      </c>
      <c r="G177" s="788" t="s">
        <v>614</v>
      </c>
      <c r="H177" s="789">
        <v>1.0</v>
      </c>
      <c r="I177" s="790">
        <v>0.64375</v>
      </c>
      <c r="J177" s="789">
        <v>10.0</v>
      </c>
      <c r="K177" s="789">
        <v>1.0</v>
      </c>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t="20.25" customHeight="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t="20.25" customHeight="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t="20.25" customHeight="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t="20.25" customHeight="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t="20.25" customHeight="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t="20.25" customHeight="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t="20.25" customHeight="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t="20.25" customHeight="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t="20.25" customHeight="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t="17.25" customHeight="1" outlineLevel="1">
      <c r="A188" s="675"/>
      <c r="B188" s="774"/>
      <c r="C188" s="775">
        <f>IF(C177="","",IF(DAY(C177+1)=1,"",C177+1))</f>
        <v>46098</v>
      </c>
      <c r="D188" s="776" t="str">
        <f>TEXT(C188,"ddd")</f>
        <v>火</v>
      </c>
      <c r="E188" s="777"/>
      <c r="F188" s="778" t="s">
        <v>100</v>
      </c>
      <c r="G188" s="779" t="s">
        <v>615</v>
      </c>
      <c r="H188" s="780"/>
      <c r="I188" s="926">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t="17.25" customHeight="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t="17.25" customHeight="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t="17.25" customHeight="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t="17.25" customHeight="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t="17.25" customHeight="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t="17.25" customHeight="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t="17.25" customHeight="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t="17.25" customHeight="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t="17.25" customHeight="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t="40.5" customHeight="1" outlineLevel="1">
      <c r="A199" s="675"/>
      <c r="B199" s="756"/>
      <c r="C199" s="757">
        <f>IF(C188="","",IF(DAY(C188+1)=1,"",C188+1))</f>
        <v>46099</v>
      </c>
      <c r="D199" s="758" t="str">
        <f>TEXT(C199,"ddd")</f>
        <v>水</v>
      </c>
      <c r="E199" s="759"/>
      <c r="F199" s="787" t="s">
        <v>119</v>
      </c>
      <c r="G199" s="788" t="s">
        <v>616</v>
      </c>
      <c r="H199" s="789"/>
      <c r="I199" s="790">
        <v>0.6791666666666667</v>
      </c>
      <c r="J199" s="789">
        <v>12.0</v>
      </c>
      <c r="K199" s="789">
        <v>2.0</v>
      </c>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t="40.5" customHeight="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t="40.5" customHeight="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t="40.5" customHeight="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t="40.5" customHeight="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t="40.5" customHeight="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t="40.5" customHeight="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t="40.5" customHeight="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t="40.5" customHeight="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t="40.5" customHeight="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t="18.75" customHeight="1" outlineLevel="1">
      <c r="A210" s="675"/>
      <c r="B210" s="774"/>
      <c r="C210" s="775">
        <f>IF(C199="","",IF(DAY(C199+1)=1,"",C199+1))</f>
        <v>46100</v>
      </c>
      <c r="D210" s="776" t="str">
        <f>TEXT(C210,"ddd")</f>
        <v>木</v>
      </c>
      <c r="E210" s="777"/>
      <c r="F210" s="778" t="s">
        <v>111</v>
      </c>
      <c r="G210" s="779" t="s">
        <v>617</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t="18.75" customHeight="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t="18.75" customHeight="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t="18.75" customHeight="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t="18.75" customHeight="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t="18.75" customHeight="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t="18.75" customHeight="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t="18.75" customHeight="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t="18.75" customHeight="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t="18.75" customHeight="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t="22.5" customHeight="1" outlineLevel="1">
      <c r="A221" s="675"/>
      <c r="B221" s="756"/>
      <c r="C221" s="757">
        <f>IF(C210="","",IF(DAY(C210+1)=1,"",C210+1))</f>
        <v>46101</v>
      </c>
      <c r="D221" s="758" t="str">
        <f>TEXT(C221,"ddd")</f>
        <v>金</v>
      </c>
      <c r="E221" s="759"/>
      <c r="F221" s="787" t="s">
        <v>100</v>
      </c>
      <c r="G221" s="788" t="s">
        <v>618</v>
      </c>
      <c r="H221" s="789"/>
      <c r="I221" s="790">
        <v>0.6569444444444444</v>
      </c>
      <c r="J221" s="789">
        <v>13.0</v>
      </c>
      <c r="K221" s="789">
        <v>1.0</v>
      </c>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t="22.5" customHeight="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t="22.5" customHeight="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t="22.5" customHeight="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t="22.5" customHeight="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t="22.5" customHeight="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t="22.5" customHeight="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t="22.5" customHeight="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t="22.5" customHeight="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t="22.5" customHeight="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t="22.5" customHeight="1" outlineLevel="1">
      <c r="A233" s="675"/>
      <c r="B233" s="774"/>
      <c r="C233" s="775">
        <f>IF(C221="","",IF(DAY(C221+1)=1,"",C221+1))</f>
        <v>46102</v>
      </c>
      <c r="D233" s="776" t="str">
        <f>TEXT(C233,"ddd")</f>
        <v>土</v>
      </c>
      <c r="E233" s="777"/>
      <c r="F233" s="778" t="s">
        <v>100</v>
      </c>
      <c r="G233" s="779" t="s">
        <v>619</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t="22.5" customHeight="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t="22.5" customHeight="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t="22.5" customHeight="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t="22.5" customHeight="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t="22.5" customHeight="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t="22.5" customHeight="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t="22.5" customHeight="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t="22.5" customHeight="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t="22.5" customHeight="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t="21.0" customHeight="1" outlineLevel="1">
      <c r="A244" s="675"/>
      <c r="B244" s="756"/>
      <c r="C244" s="757">
        <f>IF(C233="","",IF(DAY(C233+1)=1,"",C233+1))</f>
        <v>46103</v>
      </c>
      <c r="D244" s="758" t="str">
        <f>TEXT(C244,"ddd")</f>
        <v>日</v>
      </c>
      <c r="E244" s="759"/>
      <c r="F244" s="787" t="s">
        <v>100</v>
      </c>
      <c r="G244" s="788" t="s">
        <v>620</v>
      </c>
      <c r="H244" s="789"/>
      <c r="I244" s="790">
        <v>0.6770833333333334</v>
      </c>
      <c r="J244" s="789">
        <v>13.0</v>
      </c>
      <c r="K244" s="789">
        <v>2.0</v>
      </c>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t="21.0" customHeight="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t="21.0" customHeight="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t="21.0" customHeight="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t="21.0" customHeight="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t="21.0" customHeight="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t="21.0" customHeight="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t="21.0" customHeight="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t="21.0" customHeight="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t="21.0" customHeight="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t="27.0" customHeight="1" outlineLevel="1">
      <c r="A255" s="675"/>
      <c r="B255" s="774"/>
      <c r="C255" s="775">
        <f>IF(C244="","",IF(DAY(C244+1)=1,"",C244+1))</f>
        <v>46104</v>
      </c>
      <c r="D255" s="776" t="str">
        <f>TEXT(C255,"ddd")</f>
        <v>月</v>
      </c>
      <c r="E255" s="777"/>
      <c r="F255" s="778" t="s">
        <v>100</v>
      </c>
      <c r="G255" s="779" t="s">
        <v>621</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t="27.0" customHeight="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t="27.0" customHeight="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t="27.0" customHeight="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t="27.0" customHeight="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t="27.0" customHeight="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t="27.0" customHeight="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t="27.0" customHeight="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t="27.0" customHeight="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t="27.0" customHeight="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t="27.0" customHeight="1" outlineLevel="1">
      <c r="A266" s="675"/>
      <c r="B266" s="756"/>
      <c r="C266" s="757">
        <f>IF(C255="","",IF(DAY(C255+1)=1,"",C255+1))</f>
        <v>46105</v>
      </c>
      <c r="D266" s="758" t="str">
        <f>TEXT(C266,"ddd")</f>
        <v>火</v>
      </c>
      <c r="E266" s="759"/>
      <c r="F266" s="787" t="s">
        <v>100</v>
      </c>
      <c r="G266" s="788" t="s">
        <v>622</v>
      </c>
      <c r="H266" s="789"/>
      <c r="I266" s="790">
        <v>0.6916666666666667</v>
      </c>
      <c r="J266" s="789">
        <v>12.0</v>
      </c>
      <c r="K266" s="789">
        <v>2.0</v>
      </c>
      <c r="L266" s="768" t="s">
        <v>495</v>
      </c>
      <c r="M266" s="768" t="s">
        <v>606</v>
      </c>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t="27.0" customHeight="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t="27.0" customHeight="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t="27.0" customHeight="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t="27.0" customHeight="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t="27.0" customHeight="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t="27.0" customHeight="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t="27.0" customHeight="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t="27.0" customHeight="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t="27.0" customHeight="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t="22.5" customHeight="1" outlineLevel="1">
      <c r="A277" s="675"/>
      <c r="B277" s="774"/>
      <c r="C277" s="775">
        <f>IF(C266="","",IF(DAY(C266+1)=1,"",C266+1))</f>
        <v>46106</v>
      </c>
      <c r="D277" s="776" t="str">
        <f>TEXT(C277,"ddd")</f>
        <v>水</v>
      </c>
      <c r="E277" s="777"/>
      <c r="F277" s="778" t="s">
        <v>147</v>
      </c>
      <c r="G277" s="779" t="s">
        <v>623</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t="22.5" customHeight="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t="22.5" customHeight="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t="22.5" customHeight="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t="22.5" customHeight="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t="22.5" customHeight="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t="22.5" customHeight="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t="22.5" customHeight="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t="22.5" customHeight="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t="22.5" customHeight="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46107</v>
      </c>
      <c r="D289" s="758" t="str">
        <f>TEXT(C289,"ddd")</f>
        <v>木</v>
      </c>
      <c r="E289" s="759"/>
      <c r="F289" s="787" t="s">
        <v>111</v>
      </c>
      <c r="G289" s="788" t="s">
        <v>624</v>
      </c>
      <c r="H289" s="789"/>
      <c r="I289" s="790">
        <v>0.6708333333333333</v>
      </c>
      <c r="J289" s="789">
        <v>13.0</v>
      </c>
      <c r="K289" s="789">
        <v>1.0</v>
      </c>
      <c r="L289" s="768" t="s">
        <v>201</v>
      </c>
      <c r="M289" s="768" t="s">
        <v>625</v>
      </c>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626</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ht="24.0" customHeight="1"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ht="24.0" customHeight="1"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ht="24.0" customHeight="1"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ht="24.0" customHeight="1"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ht="24.0" customHeight="1"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ht="24.0" customHeight="1"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ht="24.0" customHeight="1"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t="24.0" customHeight="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ht="27.75" customHeight="1" outlineLevel="1">
      <c r="A311" s="675"/>
      <c r="B311" s="756"/>
      <c r="C311" s="757">
        <f>IF(C300="","",IF(DAY(C300+1)=1,"",C300+1))</f>
        <v>46109</v>
      </c>
      <c r="D311" s="758" t="str">
        <f>TEXT(C311,"ddd")</f>
        <v>土</v>
      </c>
      <c r="E311" s="759"/>
      <c r="F311" s="787" t="s">
        <v>100</v>
      </c>
      <c r="G311" s="788" t="s">
        <v>627</v>
      </c>
      <c r="H311" s="789"/>
      <c r="I311" s="790">
        <v>0.6923611111111111</v>
      </c>
      <c r="J311" s="789">
        <v>13.0</v>
      </c>
      <c r="K311" s="789">
        <v>1.0</v>
      </c>
      <c r="L311" s="768"/>
      <c r="M311" s="768"/>
      <c r="N311" s="787"/>
      <c r="O311" s="791"/>
      <c r="P311" s="784"/>
      <c r="Q311" s="785"/>
      <c r="R311" s="675"/>
      <c r="S311" s="675"/>
      <c r="T311" s="675"/>
      <c r="U311" s="678"/>
      <c r="V311" s="679"/>
      <c r="W311" s="675"/>
      <c r="X311" s="675"/>
      <c r="Y311" s="675"/>
      <c r="Z311" s="675"/>
    </row>
    <row r="312" ht="27.75" customHeight="1"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ht="27.75" customHeight="1"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ht="27.75" customHeight="1"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ht="27.75" customHeight="1"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ht="27.75" customHeight="1"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ht="27.75" customHeight="1"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ht="27.75" customHeight="1"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ht="27.75" customHeight="1"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ht="27.75" customHeight="1"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628</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ht="22.5" customHeight="1"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ht="22.5" customHeight="1"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ht="22.5" customHeight="1"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ht="22.5" customHeight="1"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ht="22.5" customHeight="1"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ht="22.5" customHeight="1"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ht="22.5" customHeight="1"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ht="22.5" customHeight="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ht="20.25" customHeight="1" outlineLevel="1">
      <c r="A333" s="675"/>
      <c r="B333" s="756"/>
      <c r="C333" s="757">
        <f>IF(C322="","",IF(DAY(C322+1)=1,"",C322+1))</f>
        <v>46111</v>
      </c>
      <c r="D333" s="758" t="str">
        <f>TEXT(C333,"ddd")</f>
        <v>月</v>
      </c>
      <c r="E333" s="759"/>
      <c r="F333" s="787" t="s">
        <v>100</v>
      </c>
      <c r="G333" s="788" t="s">
        <v>629</v>
      </c>
      <c r="H333" s="789"/>
      <c r="I333" s="790">
        <v>0.6805555555555556</v>
      </c>
      <c r="J333" s="789">
        <v>14.0</v>
      </c>
      <c r="K333" s="789">
        <v>1.0</v>
      </c>
      <c r="L333" s="768"/>
      <c r="M333" s="768"/>
      <c r="N333" s="787"/>
      <c r="O333" s="791"/>
      <c r="P333" s="784"/>
      <c r="Q333" s="785"/>
      <c r="R333" s="675"/>
      <c r="S333" s="675"/>
      <c r="T333" s="675"/>
      <c r="U333" s="678"/>
      <c r="V333" s="679"/>
      <c r="W333" s="675"/>
      <c r="X333" s="675"/>
      <c r="Y333" s="675"/>
      <c r="Z333" s="675"/>
    </row>
    <row r="334" ht="20.25" customHeight="1"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ht="20.25" customHeight="1"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ht="20.25" customHeight="1"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ht="20.25" customHeight="1"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ht="20.25" customHeight="1"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ht="20.25" customHeight="1"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ht="20.25" customHeight="1"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ht="20.25" customHeight="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ht="20.25" customHeight="1"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34</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"),"①R8_3集計")</f>
        <v>①R8_3集計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0.2779335701</v>
      </c>
      <c r="D10" s="844">
        <f t="array" ref="D10">INDIRECT($E$8 &amp; "!E8")</f>
        <v>0.5790886481</v>
      </c>
      <c r="E10" s="844">
        <f t="array" ref="E10">INDIRECT($E$8 &amp; "!G8")</f>
        <v>0.8636160714</v>
      </c>
      <c r="F10" s="845">
        <f t="array" ref="F10">INDIRECT($E$8 &amp; "!H8")</f>
        <v>12774306.13</v>
      </c>
      <c r="G10" s="845">
        <f t="array" ref="G10">INDIRECT($E$8 &amp; "!K8")</f>
        <v>0</v>
      </c>
      <c r="H10" s="845">
        <f t="array" ref="H10">INDIRECT($E$8 &amp; "!M8")</f>
        <v>3550408.509</v>
      </c>
      <c r="I10" s="844">
        <f t="array" ref="I10">INDIRECT($E$8 &amp; "!AT7")</f>
        <v>0.0006462035541</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0.2713496394</v>
      </c>
      <c r="D11" s="848"/>
      <c r="E11" s="849"/>
      <c r="F11" s="850">
        <f t="array" ref="F11">INDIRECT($E$8 &amp; "!H7")</f>
        <v>13092350</v>
      </c>
      <c r="G11" s="848"/>
      <c r="H11" s="851">
        <f t="array" ref="H11">INDIRECT($E$8 &amp; "!M7")</f>
        <v>3552604.451</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927">
        <f t="array" ref="I13">xlookup($B$5,'🔵クレーム'!$C$10:$C$21,'🔵クレーム'!X$10:X$21)</f>
        <v>0.0006462035541</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0</v>
      </c>
      <c r="C15" s="862">
        <f t="array" ref="C15">xlookup($B$5,'🔵クレーム'!$C$10:$C$21,'🔵クレーム'!E$10:E$21)</f>
        <v>0</v>
      </c>
      <c r="D15" s="862">
        <f t="array" ref="D15">xlookup($B$5,'🔵クレーム'!$C$10:$C$21,'🔵クレーム'!F$10:F$21)</f>
        <v>1</v>
      </c>
      <c r="E15" s="862">
        <f t="array" ref="E15">xlookup($B$5,'🔵クレーム'!$C$10:$C$21,'🔵クレーム'!G$10:G$21)</f>
        <v>1</v>
      </c>
      <c r="F15" s="862">
        <f t="array" ref="F15">xlookup($B$5,'🔵クレーム'!$C$10:$C$21,'🔵クレーム'!H$10:H$21)</f>
        <v>2</v>
      </c>
      <c r="G15" s="862">
        <f t="array" ref="G15">xlookup($B$5,'🔵クレーム'!$C$10:$C$21,'🔵クレーム'!I$10:I$21)</f>
        <v>0</v>
      </c>
      <c r="H15" s="862">
        <f t="array" ref="H15">xlookup($B$5,'🔵クレーム'!$C$10:$C$21,'🔵クレーム'!J$10:J$21)</f>
        <v>1</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8</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2</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v>5.0</v>
      </c>
      <c r="C21" s="873"/>
      <c r="D21" s="873">
        <v>4.0</v>
      </c>
      <c r="E21" s="873">
        <v>19.0</v>
      </c>
      <c r="F21" s="873">
        <v>2.0</v>
      </c>
      <c r="G21" s="874"/>
      <c r="H21" s="874"/>
      <c r="I21" s="875">
        <f>sum(B21:G21)</f>
        <v>30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2</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v>2370.0</v>
      </c>
      <c r="C52" s="897" t="s">
        <v>201</v>
      </c>
      <c r="D52" s="894"/>
      <c r="E52" s="928">
        <v>46083.0</v>
      </c>
      <c r="F52" s="911" t="s">
        <v>630</v>
      </c>
      <c r="G52" s="911" t="s">
        <v>631</v>
      </c>
      <c r="H52" s="912" t="s">
        <v>90</v>
      </c>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v>2374.0</v>
      </c>
      <c r="C53" s="897" t="s">
        <v>501</v>
      </c>
      <c r="D53" s="894"/>
      <c r="E53" s="928">
        <v>46090.0</v>
      </c>
      <c r="F53" s="911" t="s">
        <v>630</v>
      </c>
      <c r="G53" s="911" t="s">
        <v>632</v>
      </c>
      <c r="H53" s="912" t="s">
        <v>552</v>
      </c>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4</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929">
        <v>718.0</v>
      </c>
      <c r="C66" s="897" t="s">
        <v>587</v>
      </c>
      <c r="D66" s="894"/>
      <c r="E66" s="930">
        <v>46112.0</v>
      </c>
      <c r="F66" s="931" t="s">
        <v>633</v>
      </c>
      <c r="G66" s="894"/>
      <c r="H66" s="916" t="s">
        <v>552</v>
      </c>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929">
        <v>1749.0</v>
      </c>
      <c r="C67" s="897" t="s">
        <v>584</v>
      </c>
      <c r="D67" s="894"/>
      <c r="E67" s="930">
        <v>46093.0</v>
      </c>
      <c r="F67" s="931" t="s">
        <v>606</v>
      </c>
      <c r="G67" s="894"/>
      <c r="H67" s="916" t="s">
        <v>89</v>
      </c>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929">
        <v>2339.0</v>
      </c>
      <c r="C68" s="897" t="s">
        <v>586</v>
      </c>
      <c r="D68" s="894"/>
      <c r="E68" s="930">
        <v>46093.0</v>
      </c>
      <c r="F68" s="931" t="s">
        <v>606</v>
      </c>
      <c r="G68" s="894"/>
      <c r="H68" s="916" t="s">
        <v>90</v>
      </c>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929">
        <v>2384.0</v>
      </c>
      <c r="C69" s="897" t="s">
        <v>585</v>
      </c>
      <c r="D69" s="894"/>
      <c r="E69" s="930">
        <v>46093.0</v>
      </c>
      <c r="F69" s="931" t="s">
        <v>634</v>
      </c>
      <c r="G69" s="894"/>
      <c r="H69" s="916" t="s">
        <v>89</v>
      </c>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11211550</v>
      </c>
      <c r="D1" s="313">
        <f>AZ20</f>
        <v>1169890</v>
      </c>
      <c r="E1" s="313">
        <f>BG23</f>
        <v>3944323.667</v>
      </c>
      <c r="F1" s="313">
        <f>BB23+BG40</f>
        <v>2722504</v>
      </c>
      <c r="G1" s="313">
        <f t="shared" ref="G1:H1" si="1">I8</f>
        <v>348640.625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46054.0</v>
      </c>
      <c r="E5" s="73"/>
      <c r="F5" s="330" t="s">
        <v>309</v>
      </c>
      <c r="G5" s="331">
        <f>DAY(EOMONTH(D5,0))</f>
        <v>28</v>
      </c>
      <c r="H5" s="332" t="s">
        <v>310</v>
      </c>
      <c r="I5" s="330" t="s">
        <v>311</v>
      </c>
      <c r="J5" s="333" t="b">
        <v>1</v>
      </c>
      <c r="K5" s="330" t="s">
        <v>312</v>
      </c>
      <c r="L5" s="334" t="b">
        <v>1</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326</v>
      </c>
      <c r="H7" s="356">
        <f t="array" ref="H7">xlookup($D$5,'🌟目標数値'!$A$3:$A$14,'🌟目標数値'!D$3:D14)</f>
        <v>10990334</v>
      </c>
      <c r="I7" s="356" t="s">
        <v>326</v>
      </c>
      <c r="J7" s="357" t="s">
        <v>326</v>
      </c>
      <c r="K7" s="358" t="s">
        <v>326</v>
      </c>
      <c r="L7" s="358" t="s">
        <v>326</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920">
        <f>IFERROR(__xludf.DUMMYFUNCTION("IMPORTRANGE(AT9,""日別集計!AI4"")"),34.0)</f>
        <v>34</v>
      </c>
      <c r="AW7" s="73"/>
      <c r="AX7" s="347"/>
      <c r="AY7" s="362"/>
      <c r="BG7" s="363"/>
      <c r="BL7" s="351"/>
    </row>
    <row r="8" ht="15.75" customHeight="1" outlineLevel="1">
      <c r="B8" s="364" t="s">
        <v>327</v>
      </c>
      <c r="C8" s="365">
        <f>M8/H8</f>
        <v>0.2825827569</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IFERROR(__xludf.DUMMYFUNCTION("IMPORTRANGE(""https://docs.google.com/spreadsheets/d/1QbHfX9wvC_RRupa4CCe_ZxA6O4e2Ap9vqX5hrZPeQRg/edit"",""date2_1!P7"")/G5*COUNTIFS($E$13:$E$43,""&gt;0"")"),348640.625)</f>
        <v>348640.625</v>
      </c>
      <c r="J8" s="370">
        <f>IFERROR(__xludf.DUMMYFUNCTION("IMPORTRANGE(""https://docs.google.com/spreadsheets/d/1PIAlDmsTatDNi42y_Nu-aVFqvVCXfe6jiDJFQImKjZ0/edit#gid=630612029"",""R8_2!J5"")"),0.0)</f>
        <v>0</v>
      </c>
      <c r="K8" s="371">
        <f>BE24</f>
        <v>141999</v>
      </c>
      <c r="L8" s="371">
        <f>BB30-BB23-AZ20-BG45-BG23+BE24</f>
        <v>3516831.333</v>
      </c>
      <c r="M8" s="372">
        <f>L8-I8</f>
        <v>3168190.708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10990334</v>
      </c>
      <c r="I9" s="382" t="s">
        <v>326</v>
      </c>
      <c r="J9" s="383" t="s">
        <v>326</v>
      </c>
      <c r="K9" s="384" t="s">
        <v>326</v>
      </c>
      <c r="L9" s="384" t="s">
        <v>326</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2" t="s">
        <v>332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46054</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369</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IFERROR(__xludf.DUMMYFUNCTION("IMPORTRANGE(""https://docs.google.com/spreadsheets/d/1QbHfX9wvC_RRupa4CCe_ZxA6O4e2Ap9vqX5hrZPeQRg/edit?gid=284905409#gid=284905409"",""date2_1!B7"")/G5*COUNTIFS($E$13:$E$43,""&gt;0"")+sum(AZ14:BA19)"),1169890.0)</f>
        <v>1169890</v>
      </c>
      <c r="BA20" s="441"/>
      <c r="BB20" s="442"/>
      <c r="BC20" s="323"/>
      <c r="BD20" s="439" t="s">
        <v>303</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380</v>
      </c>
      <c r="AZ23" s="449">
        <f>AR44</f>
        <v>2727840</v>
      </c>
      <c r="BA23" s="73"/>
      <c r="BB23" s="450">
        <f>AZ23-AZ24</f>
        <v>2722504</v>
      </c>
      <c r="BC23" s="323"/>
      <c r="BD23" s="451" t="s">
        <v>381</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382</v>
      </c>
      <c r="AZ24" s="449">
        <f>BE36</f>
        <v>5336</v>
      </c>
      <c r="BA24" s="73"/>
      <c r="BB24" s="453"/>
      <c r="BC24" s="323"/>
      <c r="BD24" s="448" t="s">
        <v>383</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389</v>
      </c>
      <c r="AZ30" s="452">
        <f>AS46</f>
        <v>10386430</v>
      </c>
      <c r="BA30" s="465" t="s">
        <v>326</v>
      </c>
      <c r="BB30" s="450">
        <f>SUM(AZ30:AZ36)</f>
        <v>11211550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393</v>
      </c>
      <c r="AZ31" s="452">
        <f t="shared" ref="AZ31:AZ33" si="10">BA31/$G$5*COUNTIFS($E$13:$E$43,"&gt;0")</f>
        <v>364800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395</v>
      </c>
      <c r="AZ32" s="452">
        <f t="shared" si="10"/>
        <v>424864</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397</v>
      </c>
      <c r="AZ33" s="452">
        <f t="shared" si="10"/>
        <v>11806</v>
      </c>
      <c r="BA33" s="469">
        <v>11806.0</v>
      </c>
      <c r="BB33" s="453"/>
      <c r="BC33" s="323"/>
      <c r="BD33" s="473" t="s">
        <v>398</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635</v>
      </c>
      <c r="AZ34" s="476">
        <v>-132800.0</v>
      </c>
      <c r="BA34" s="430"/>
      <c r="BB34" s="453"/>
      <c r="BC34" s="323"/>
      <c r="BD34" s="477" t="s">
        <v>399</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400</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401</v>
      </c>
      <c r="AZ36" s="476">
        <f>BB40</f>
        <v>156450</v>
      </c>
      <c r="BA36" s="430"/>
      <c r="BB36" s="210"/>
      <c r="BC36" s="323"/>
      <c r="BD36" s="439" t="s">
        <v>303</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636</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2"/>
      <c r="AK44" s="932"/>
      <c r="AL44" s="932"/>
      <c r="AM44" s="932"/>
      <c r="AN44" s="932"/>
      <c r="AO44" s="932"/>
      <c r="AP44" s="932"/>
      <c r="AQ44" s="932"/>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637</v>
      </c>
      <c r="O2" s="541"/>
      <c r="P2" s="542"/>
      <c r="Q2" s="543"/>
      <c r="R2" s="543"/>
      <c r="S2" s="544"/>
      <c r="T2" s="543"/>
      <c r="U2" s="543"/>
      <c r="V2" s="543"/>
      <c r="W2" s="543"/>
      <c r="X2" s="543"/>
      <c r="Y2" s="545"/>
      <c r="Z2" s="270"/>
      <c r="AA2" s="270"/>
      <c r="AB2" s="270"/>
      <c r="AC2" s="270"/>
      <c r="AD2" s="270"/>
      <c r="AE2" s="270"/>
      <c r="AF2" s="546"/>
      <c r="AG2" s="547"/>
      <c r="AH2" s="548"/>
      <c r="AI2" s="549" t="s">
        <v>638</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46112</v>
      </c>
      <c r="C7" s="620"/>
      <c r="D7" s="536"/>
      <c r="E7" s="621">
        <f>today()+1</f>
        <v>46113</v>
      </c>
      <c r="F7" s="622"/>
      <c r="G7" s="536"/>
      <c r="H7" s="536"/>
      <c r="I7" s="623" t="s">
        <v>450</v>
      </c>
      <c r="J7" s="624" t="s">
        <v>451</v>
      </c>
      <c r="K7" s="625">
        <v>46054.0</v>
      </c>
      <c r="L7" s="626" t="s">
        <v>452</v>
      </c>
      <c r="M7" s="627" t="s">
        <v>453</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火</v>
      </c>
      <c r="D8" s="115"/>
      <c r="E8" s="637" t="s">
        <v>331</v>
      </c>
      <c r="F8" s="638" t="str">
        <f>TEXT(E7,"ddd")</f>
        <v>水</v>
      </c>
      <c r="G8" s="188"/>
      <c r="H8" s="188"/>
      <c r="I8" s="623"/>
      <c r="J8" s="639" t="s">
        <v>461</v>
      </c>
      <c r="K8" s="626" t="s">
        <v>462</v>
      </c>
      <c r="L8" s="640" t="s">
        <v>463</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464</v>
      </c>
      <c r="L9" s="647" t="s">
        <v>465</v>
      </c>
      <c r="M9" s="648" t="s">
        <v>466</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465</v>
      </c>
      <c r="AT9" s="650" t="s">
        <v>465</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467</v>
      </c>
      <c r="L10" s="647" t="s">
        <v>465</v>
      </c>
      <c r="M10" s="648" t="s">
        <v>468</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465</v>
      </c>
      <c r="AT10" s="650" t="s">
        <v>465</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469</v>
      </c>
      <c r="M11" s="653"/>
      <c r="N11" s="654" t="s">
        <v>422</v>
      </c>
      <c r="O11" s="654" t="s">
        <v>422</v>
      </c>
      <c r="P11" s="654" t="s">
        <v>422</v>
      </c>
      <c r="Q11" s="654" t="s">
        <v>422</v>
      </c>
      <c r="R11" s="654"/>
      <c r="S11" s="654"/>
      <c r="T11" s="654" t="s">
        <v>583</v>
      </c>
      <c r="U11" s="654" t="s">
        <v>422</v>
      </c>
      <c r="V11" s="654"/>
      <c r="W11" s="654" t="s">
        <v>422</v>
      </c>
      <c r="X11" s="654" t="s">
        <v>422</v>
      </c>
      <c r="Y11" s="654"/>
      <c r="Z11" s="654"/>
      <c r="AA11" s="654" t="s">
        <v>422</v>
      </c>
      <c r="AB11" s="654" t="s">
        <v>422</v>
      </c>
      <c r="AC11" s="654" t="s">
        <v>422</v>
      </c>
      <c r="AD11" s="654" t="s">
        <v>422</v>
      </c>
      <c r="AE11" s="654" t="s">
        <v>422</v>
      </c>
      <c r="AF11" s="654" t="s">
        <v>422</v>
      </c>
      <c r="AG11" s="654"/>
      <c r="AH11" s="654" t="s">
        <v>583</v>
      </c>
      <c r="AI11" s="654" t="s">
        <v>422</v>
      </c>
      <c r="AJ11" s="654" t="s">
        <v>583</v>
      </c>
      <c r="AK11" s="654" t="s">
        <v>422</v>
      </c>
      <c r="AL11" s="654" t="s">
        <v>583</v>
      </c>
      <c r="AM11" s="654"/>
      <c r="AN11" s="654"/>
      <c r="AO11" s="654" t="s">
        <v>422</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469</v>
      </c>
      <c r="M12" s="653"/>
      <c r="N12" s="654" t="s">
        <v>583</v>
      </c>
      <c r="O12" s="654" t="s">
        <v>422</v>
      </c>
      <c r="P12" s="654" t="s">
        <v>422</v>
      </c>
      <c r="Q12" s="654"/>
      <c r="R12" s="654"/>
      <c r="S12" s="654" t="s">
        <v>422</v>
      </c>
      <c r="T12" s="654" t="s">
        <v>422</v>
      </c>
      <c r="U12" s="654"/>
      <c r="V12" s="654"/>
      <c r="W12" s="654" t="s">
        <v>422</v>
      </c>
      <c r="X12" s="654" t="s">
        <v>422</v>
      </c>
      <c r="Y12" s="654" t="s">
        <v>583</v>
      </c>
      <c r="Z12" s="654" t="s">
        <v>422</v>
      </c>
      <c r="AA12" s="654" t="s">
        <v>422</v>
      </c>
      <c r="AB12" s="654"/>
      <c r="AC12" s="654"/>
      <c r="AD12" s="654" t="s">
        <v>583</v>
      </c>
      <c r="AE12" s="654" t="s">
        <v>422</v>
      </c>
      <c r="AF12" s="654" t="s">
        <v>583</v>
      </c>
      <c r="AG12" s="654" t="s">
        <v>422</v>
      </c>
      <c r="AH12" s="654" t="s">
        <v>422</v>
      </c>
      <c r="AI12" s="654"/>
      <c r="AJ12" s="654" t="s">
        <v>583</v>
      </c>
      <c r="AK12" s="654"/>
      <c r="AL12" s="654" t="s">
        <v>422</v>
      </c>
      <c r="AM12" s="654" t="s">
        <v>422</v>
      </c>
      <c r="AN12" s="654" t="s">
        <v>422</v>
      </c>
      <c r="AO12" s="654" t="s">
        <v>422</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473</v>
      </c>
      <c r="M13" s="653"/>
      <c r="N13" s="654" t="s">
        <v>424</v>
      </c>
      <c r="O13" s="654" t="s">
        <v>424</v>
      </c>
      <c r="P13" s="654"/>
      <c r="Q13" s="654" t="s">
        <v>424</v>
      </c>
      <c r="R13" s="654" t="s">
        <v>424</v>
      </c>
      <c r="S13" s="654"/>
      <c r="T13" s="654" t="s">
        <v>424</v>
      </c>
      <c r="U13" s="654" t="s">
        <v>424</v>
      </c>
      <c r="V13" s="654" t="s">
        <v>424</v>
      </c>
      <c r="W13" s="654"/>
      <c r="X13" s="654"/>
      <c r="Y13" s="654" t="s">
        <v>424</v>
      </c>
      <c r="Z13" s="654" t="s">
        <v>424</v>
      </c>
      <c r="AA13" s="654" t="s">
        <v>424</v>
      </c>
      <c r="AB13" s="654" t="s">
        <v>424</v>
      </c>
      <c r="AC13" s="654" t="s">
        <v>424</v>
      </c>
      <c r="AD13" s="654" t="s">
        <v>445</v>
      </c>
      <c r="AE13" s="654" t="s">
        <v>445</v>
      </c>
      <c r="AF13" s="654" t="s">
        <v>424</v>
      </c>
      <c r="AG13" s="654" t="s">
        <v>424</v>
      </c>
      <c r="AH13" s="654" t="s">
        <v>424</v>
      </c>
      <c r="AI13" s="654" t="s">
        <v>445</v>
      </c>
      <c r="AJ13" s="654" t="s">
        <v>424</v>
      </c>
      <c r="AK13" s="654" t="s">
        <v>424</v>
      </c>
      <c r="AL13" s="654"/>
      <c r="AM13" s="654" t="s">
        <v>424</v>
      </c>
      <c r="AN13" s="654" t="s">
        <v>424</v>
      </c>
      <c r="AO13" s="654" t="s">
        <v>424</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473</v>
      </c>
      <c r="M14" s="653"/>
      <c r="N14" s="654" t="s">
        <v>424</v>
      </c>
      <c r="O14" s="654" t="s">
        <v>424</v>
      </c>
      <c r="P14" s="654"/>
      <c r="Q14" s="654"/>
      <c r="R14" s="654" t="s">
        <v>424</v>
      </c>
      <c r="S14" s="654" t="s">
        <v>424</v>
      </c>
      <c r="T14" s="654" t="s">
        <v>424</v>
      </c>
      <c r="U14" s="654" t="s">
        <v>424</v>
      </c>
      <c r="V14" s="654" t="s">
        <v>424</v>
      </c>
      <c r="W14" s="654"/>
      <c r="X14" s="654"/>
      <c r="Y14" s="654" t="s">
        <v>424</v>
      </c>
      <c r="Z14" s="654" t="s">
        <v>424</v>
      </c>
      <c r="AA14" s="654" t="s">
        <v>424</v>
      </c>
      <c r="AB14" s="654" t="s">
        <v>424</v>
      </c>
      <c r="AC14" s="654" t="s">
        <v>424</v>
      </c>
      <c r="AD14" s="654"/>
      <c r="AE14" s="654"/>
      <c r="AF14" s="654" t="s">
        <v>424</v>
      </c>
      <c r="AG14" s="654" t="s">
        <v>424</v>
      </c>
      <c r="AH14" s="654" t="s">
        <v>424</v>
      </c>
      <c r="AI14" s="654" t="s">
        <v>424</v>
      </c>
      <c r="AJ14" s="654" t="s">
        <v>424</v>
      </c>
      <c r="AK14" s="654"/>
      <c r="AL14" s="654"/>
      <c r="AM14" s="654" t="s">
        <v>424</v>
      </c>
      <c r="AN14" s="654" t="s">
        <v>424</v>
      </c>
      <c r="AO14" s="654" t="s">
        <v>424</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473</v>
      </c>
      <c r="M15" s="653"/>
      <c r="N15" s="654" t="s">
        <v>424</v>
      </c>
      <c r="O15" s="654"/>
      <c r="P15" s="654" t="s">
        <v>424</v>
      </c>
      <c r="Q15" s="654" t="s">
        <v>424</v>
      </c>
      <c r="R15" s="654" t="s">
        <v>424</v>
      </c>
      <c r="S15" s="654" t="s">
        <v>424</v>
      </c>
      <c r="T15" s="654" t="s">
        <v>445</v>
      </c>
      <c r="U15" s="654" t="s">
        <v>445</v>
      </c>
      <c r="V15" s="654" t="s">
        <v>424</v>
      </c>
      <c r="W15" s="654" t="s">
        <v>424</v>
      </c>
      <c r="X15" s="654" t="s">
        <v>424</v>
      </c>
      <c r="Y15" s="654" t="s">
        <v>424</v>
      </c>
      <c r="Z15" s="654" t="s">
        <v>424</v>
      </c>
      <c r="AA15" s="654" t="s">
        <v>445</v>
      </c>
      <c r="AB15" s="654" t="s">
        <v>445</v>
      </c>
      <c r="AC15" s="654" t="s">
        <v>424</v>
      </c>
      <c r="AD15" s="654" t="s">
        <v>424</v>
      </c>
      <c r="AE15" s="654" t="s">
        <v>424</v>
      </c>
      <c r="AF15" s="654"/>
      <c r="AG15" s="654" t="s">
        <v>424</v>
      </c>
      <c r="AH15" s="654" t="s">
        <v>424</v>
      </c>
      <c r="AI15" s="654" t="s">
        <v>424</v>
      </c>
      <c r="AJ15" s="654" t="s">
        <v>424</v>
      </c>
      <c r="AK15" s="654" t="s">
        <v>424</v>
      </c>
      <c r="AL15" s="654" t="s">
        <v>424</v>
      </c>
      <c r="AM15" s="654"/>
      <c r="AN15" s="654" t="s">
        <v>424</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479</v>
      </c>
      <c r="M16" s="653"/>
      <c r="N16" s="654"/>
      <c r="O16" s="654"/>
      <c r="P16" s="654"/>
      <c r="Q16" s="654" t="s">
        <v>424</v>
      </c>
      <c r="R16" s="654" t="s">
        <v>424</v>
      </c>
      <c r="S16" s="654" t="s">
        <v>424</v>
      </c>
      <c r="T16" s="654"/>
      <c r="U16" s="654"/>
      <c r="V16" s="654" t="s">
        <v>424</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639</v>
      </c>
      <c r="L17" s="647" t="s">
        <v>479</v>
      </c>
      <c r="M17" s="653"/>
      <c r="N17" s="654"/>
      <c r="O17" s="654"/>
      <c r="P17" s="654"/>
      <c r="Q17" s="654"/>
      <c r="R17" s="654" t="s">
        <v>424</v>
      </c>
      <c r="S17" s="654" t="s">
        <v>424</v>
      </c>
      <c r="T17" s="654" t="s">
        <v>424</v>
      </c>
      <c r="U17" s="654" t="s">
        <v>424</v>
      </c>
      <c r="V17" s="654" t="s">
        <v>424</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196</v>
      </c>
      <c r="L18" s="647" t="s">
        <v>479</v>
      </c>
      <c r="M18" s="653"/>
      <c r="N18" s="654" t="s">
        <v>424</v>
      </c>
      <c r="O18" s="654" t="s">
        <v>424</v>
      </c>
      <c r="P18" s="654"/>
      <c r="Q18" s="654" t="s">
        <v>424</v>
      </c>
      <c r="R18" s="654"/>
      <c r="S18" s="654"/>
      <c r="T18" s="654"/>
      <c r="U18" s="654" t="s">
        <v>424</v>
      </c>
      <c r="V18" s="654" t="s">
        <v>424</v>
      </c>
      <c r="W18" s="654"/>
      <c r="X18" s="654"/>
      <c r="Y18" s="654"/>
      <c r="Z18" s="654"/>
      <c r="AA18" s="654"/>
      <c r="AB18" s="654" t="s">
        <v>424</v>
      </c>
      <c r="AC18" s="654" t="s">
        <v>424</v>
      </c>
      <c r="AD18" s="654"/>
      <c r="AE18" s="654" t="s">
        <v>424</v>
      </c>
      <c r="AF18" s="654"/>
      <c r="AG18" s="654"/>
      <c r="AH18" s="654"/>
      <c r="AI18" s="654" t="s">
        <v>424</v>
      </c>
      <c r="AJ18" s="654" t="s">
        <v>424</v>
      </c>
      <c r="AK18" s="654"/>
      <c r="AL18" s="654" t="s">
        <v>424</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200</v>
      </c>
      <c r="L19" s="647" t="s">
        <v>479</v>
      </c>
      <c r="M19" s="653"/>
      <c r="N19" s="654" t="s">
        <v>424</v>
      </c>
      <c r="O19" s="654"/>
      <c r="P19" s="654" t="s">
        <v>424</v>
      </c>
      <c r="Q19" s="654" t="s">
        <v>424</v>
      </c>
      <c r="R19" s="654"/>
      <c r="S19" s="654"/>
      <c r="T19" s="654" t="s">
        <v>424</v>
      </c>
      <c r="U19" s="654" t="s">
        <v>424</v>
      </c>
      <c r="V19" s="654"/>
      <c r="W19" s="654"/>
      <c r="X19" s="654" t="s">
        <v>424</v>
      </c>
      <c r="Y19" s="654"/>
      <c r="Z19" s="654"/>
      <c r="AA19" s="654" t="s">
        <v>424</v>
      </c>
      <c r="AB19" s="654" t="s">
        <v>424</v>
      </c>
      <c r="AC19" s="654"/>
      <c r="AD19" s="654" t="s">
        <v>424</v>
      </c>
      <c r="AE19" s="654" t="s">
        <v>424</v>
      </c>
      <c r="AF19" s="654"/>
      <c r="AG19" s="654"/>
      <c r="AH19" s="654" t="s">
        <v>424</v>
      </c>
      <c r="AI19" s="654" t="s">
        <v>424</v>
      </c>
      <c r="AJ19" s="654"/>
      <c r="AK19" s="654" t="s">
        <v>424</v>
      </c>
      <c r="AL19" s="654" t="s">
        <v>424</v>
      </c>
      <c r="AM19" s="654"/>
      <c r="AN19" s="654"/>
      <c r="AO19" s="654" t="s">
        <v>424</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584</v>
      </c>
      <c r="L20" s="647" t="s">
        <v>479</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479</v>
      </c>
      <c r="M21" s="653"/>
      <c r="N21" s="654"/>
      <c r="O21" s="654"/>
      <c r="P21" s="654" t="s">
        <v>424</v>
      </c>
      <c r="Q21" s="649"/>
      <c r="R21" s="654" t="s">
        <v>424</v>
      </c>
      <c r="S21" s="654" t="s">
        <v>424</v>
      </c>
      <c r="T21" s="649"/>
      <c r="U21" s="649"/>
      <c r="V21" s="654"/>
      <c r="W21" s="654" t="s">
        <v>424</v>
      </c>
      <c r="X21" s="649"/>
      <c r="Y21" s="654" t="s">
        <v>424</v>
      </c>
      <c r="Z21" s="654" t="s">
        <v>424</v>
      </c>
      <c r="AA21" s="649"/>
      <c r="AB21" s="649"/>
      <c r="AC21" s="654"/>
      <c r="AD21" s="654" t="s">
        <v>424</v>
      </c>
      <c r="AE21" s="654"/>
      <c r="AF21" s="654" t="s">
        <v>424</v>
      </c>
      <c r="AG21" s="654" t="s">
        <v>424</v>
      </c>
      <c r="AH21" s="654"/>
      <c r="AI21" s="654"/>
      <c r="AJ21" s="654"/>
      <c r="AK21" s="654" t="s">
        <v>424</v>
      </c>
      <c r="AL21" s="654"/>
      <c r="AM21" s="654" t="s">
        <v>424</v>
      </c>
      <c r="AN21" s="654" t="s">
        <v>424</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480</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481</v>
      </c>
      <c r="L41" s="647" t="s">
        <v>479</v>
      </c>
      <c r="M41" s="648" t="s">
        <v>233</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465</v>
      </c>
      <c r="AT41" s="654" t="s">
        <v>465</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482</v>
      </c>
      <c r="L42" s="647" t="s">
        <v>479</v>
      </c>
      <c r="M42" s="648" t="s">
        <v>427</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465</v>
      </c>
      <c r="AT42" s="654" t="s">
        <v>465</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483</v>
      </c>
      <c r="L43" s="669" t="s">
        <v>484</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485</v>
      </c>
      <c r="K44" s="646"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197</v>
      </c>
      <c r="L45" s="647" t="s">
        <v>487</v>
      </c>
      <c r="M45" s="653"/>
      <c r="N45" s="654" t="s">
        <v>233</v>
      </c>
      <c r="O45" s="654"/>
      <c r="P45" s="654" t="s">
        <v>233</v>
      </c>
      <c r="Q45" s="654" t="s">
        <v>233</v>
      </c>
      <c r="R45" s="654" t="s">
        <v>233</v>
      </c>
      <c r="S45" s="654" t="s">
        <v>233</v>
      </c>
      <c r="T45" s="654" t="s">
        <v>233</v>
      </c>
      <c r="U45" s="654" t="s">
        <v>233</v>
      </c>
      <c r="V45" s="654"/>
      <c r="W45" s="654" t="s">
        <v>233</v>
      </c>
      <c r="X45" s="654" t="s">
        <v>233</v>
      </c>
      <c r="Y45" s="654" t="s">
        <v>233</v>
      </c>
      <c r="Z45" s="654" t="s">
        <v>233</v>
      </c>
      <c r="AA45" s="654" t="s">
        <v>233</v>
      </c>
      <c r="AB45" s="654" t="s">
        <v>233</v>
      </c>
      <c r="AC45" s="654"/>
      <c r="AD45" s="654" t="s">
        <v>233</v>
      </c>
      <c r="AE45" s="654" t="s">
        <v>233</v>
      </c>
      <c r="AF45" s="654" t="s">
        <v>233</v>
      </c>
      <c r="AG45" s="654" t="s">
        <v>233</v>
      </c>
      <c r="AH45" s="654" t="s">
        <v>233</v>
      </c>
      <c r="AI45" s="654" t="s">
        <v>233</v>
      </c>
      <c r="AJ45" s="654"/>
      <c r="AK45" s="654" t="s">
        <v>233</v>
      </c>
      <c r="AL45" s="654" t="s">
        <v>233</v>
      </c>
      <c r="AM45" s="654" t="s">
        <v>233</v>
      </c>
      <c r="AN45" s="654" t="s">
        <v>233</v>
      </c>
      <c r="AO45" s="654" t="s">
        <v>233</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487</v>
      </c>
      <c r="M46" s="653"/>
      <c r="N46" s="654" t="s">
        <v>233</v>
      </c>
      <c r="O46" s="654" t="s">
        <v>233</v>
      </c>
      <c r="P46" s="654"/>
      <c r="Q46" s="654" t="s">
        <v>233</v>
      </c>
      <c r="R46" s="654" t="s">
        <v>233</v>
      </c>
      <c r="S46" s="654" t="s">
        <v>233</v>
      </c>
      <c r="T46" s="654" t="s">
        <v>233</v>
      </c>
      <c r="U46" s="654" t="s">
        <v>233</v>
      </c>
      <c r="V46" s="654" t="s">
        <v>233</v>
      </c>
      <c r="W46" s="654"/>
      <c r="X46" s="654" t="s">
        <v>233</v>
      </c>
      <c r="Y46" s="654" t="s">
        <v>233</v>
      </c>
      <c r="Z46" s="654" t="s">
        <v>233</v>
      </c>
      <c r="AA46" s="654" t="s">
        <v>233</v>
      </c>
      <c r="AB46" s="654" t="s">
        <v>233</v>
      </c>
      <c r="AC46" s="654" t="s">
        <v>233</v>
      </c>
      <c r="AD46" s="654"/>
      <c r="AE46" s="654" t="s">
        <v>233</v>
      </c>
      <c r="AF46" s="654" t="s">
        <v>233</v>
      </c>
      <c r="AG46" s="654" t="s">
        <v>233</v>
      </c>
      <c r="AH46" s="654" t="s">
        <v>233</v>
      </c>
      <c r="AI46" s="654" t="s">
        <v>233</v>
      </c>
      <c r="AJ46" s="654" t="s">
        <v>233</v>
      </c>
      <c r="AK46" s="654"/>
      <c r="AL46" s="654" t="s">
        <v>233</v>
      </c>
      <c r="AM46" s="654" t="s">
        <v>233</v>
      </c>
      <c r="AN46" s="654" t="s">
        <v>233</v>
      </c>
      <c r="AO46" s="654" t="s">
        <v>233</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488</v>
      </c>
      <c r="L47" s="647" t="s">
        <v>487</v>
      </c>
      <c r="M47" s="653"/>
      <c r="N47" s="654" t="s">
        <v>233</v>
      </c>
      <c r="O47" s="654" t="s">
        <v>233</v>
      </c>
      <c r="P47" s="654"/>
      <c r="Q47" s="654" t="s">
        <v>233</v>
      </c>
      <c r="R47" s="654" t="s">
        <v>233</v>
      </c>
      <c r="S47" s="654" t="s">
        <v>233</v>
      </c>
      <c r="T47" s="654" t="s">
        <v>233</v>
      </c>
      <c r="U47" s="654" t="s">
        <v>233</v>
      </c>
      <c r="V47" s="654" t="s">
        <v>233</v>
      </c>
      <c r="W47" s="654"/>
      <c r="X47" s="654" t="s">
        <v>233</v>
      </c>
      <c r="Y47" s="654" t="s">
        <v>233</v>
      </c>
      <c r="Z47" s="654" t="s">
        <v>233</v>
      </c>
      <c r="AA47" s="654" t="s">
        <v>233</v>
      </c>
      <c r="AB47" s="654" t="s">
        <v>233</v>
      </c>
      <c r="AC47" s="654" t="s">
        <v>233</v>
      </c>
      <c r="AD47" s="654"/>
      <c r="AE47" s="654" t="s">
        <v>233</v>
      </c>
      <c r="AF47" s="654" t="s">
        <v>233</v>
      </c>
      <c r="AG47" s="654" t="s">
        <v>233</v>
      </c>
      <c r="AH47" s="654"/>
      <c r="AI47" s="654" t="s">
        <v>233</v>
      </c>
      <c r="AJ47" s="654" t="s">
        <v>233</v>
      </c>
      <c r="AK47" s="654"/>
      <c r="AL47" s="654" t="s">
        <v>233</v>
      </c>
      <c r="AM47" s="654" t="s">
        <v>233</v>
      </c>
      <c r="AN47" s="654" t="s">
        <v>233</v>
      </c>
      <c r="AO47" s="654" t="s">
        <v>233</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489</v>
      </c>
      <c r="L48" s="647" t="s">
        <v>487</v>
      </c>
      <c r="M48" s="653"/>
      <c r="N48" s="654" t="s">
        <v>233</v>
      </c>
      <c r="O48" s="654"/>
      <c r="P48" s="654" t="s">
        <v>233</v>
      </c>
      <c r="Q48" s="654" t="s">
        <v>233</v>
      </c>
      <c r="R48" s="654" t="s">
        <v>233</v>
      </c>
      <c r="S48" s="654" t="s">
        <v>233</v>
      </c>
      <c r="T48" s="654" t="s">
        <v>233</v>
      </c>
      <c r="U48" s="654" t="s">
        <v>233</v>
      </c>
      <c r="V48" s="654"/>
      <c r="W48" s="654" t="s">
        <v>233</v>
      </c>
      <c r="X48" s="654" t="s">
        <v>233</v>
      </c>
      <c r="Y48" s="654" t="s">
        <v>233</v>
      </c>
      <c r="Z48" s="654" t="s">
        <v>233</v>
      </c>
      <c r="AA48" s="654" t="s">
        <v>233</v>
      </c>
      <c r="AB48" s="654" t="s">
        <v>233</v>
      </c>
      <c r="AC48" s="654"/>
      <c r="AD48" s="654" t="s">
        <v>233</v>
      </c>
      <c r="AE48" s="654" t="s">
        <v>233</v>
      </c>
      <c r="AF48" s="654" t="s">
        <v>233</v>
      </c>
      <c r="AG48" s="654" t="s">
        <v>233</v>
      </c>
      <c r="AH48" s="654" t="s">
        <v>233</v>
      </c>
      <c r="AI48" s="654" t="s">
        <v>233</v>
      </c>
      <c r="AJ48" s="654"/>
      <c r="AK48" s="654" t="s">
        <v>233</v>
      </c>
      <c r="AL48" s="654" t="s">
        <v>233</v>
      </c>
      <c r="AM48" s="654" t="s">
        <v>233</v>
      </c>
      <c r="AN48" s="654" t="s">
        <v>233</v>
      </c>
      <c r="AO48" s="654" t="s">
        <v>233</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640</v>
      </c>
      <c r="L49" s="647" t="s">
        <v>487</v>
      </c>
      <c r="M49" s="653"/>
      <c r="N49" s="654" t="s">
        <v>233</v>
      </c>
      <c r="O49" s="654" t="s">
        <v>233</v>
      </c>
      <c r="P49" s="649"/>
      <c r="Q49" s="654" t="s">
        <v>233</v>
      </c>
      <c r="R49" s="654" t="s">
        <v>233</v>
      </c>
      <c r="S49" s="654" t="s">
        <v>233</v>
      </c>
      <c r="T49" s="654" t="s">
        <v>233</v>
      </c>
      <c r="U49" s="654" t="s">
        <v>233</v>
      </c>
      <c r="V49" s="654" t="s">
        <v>233</v>
      </c>
      <c r="W49" s="654"/>
      <c r="X49" s="654" t="s">
        <v>233</v>
      </c>
      <c r="Y49" s="654" t="s">
        <v>233</v>
      </c>
      <c r="Z49" s="654" t="s">
        <v>233</v>
      </c>
      <c r="AA49" s="654" t="s">
        <v>233</v>
      </c>
      <c r="AB49" s="654" t="s">
        <v>233</v>
      </c>
      <c r="AC49" s="654" t="s">
        <v>233</v>
      </c>
      <c r="AD49" s="654"/>
      <c r="AE49" s="654" t="s">
        <v>233</v>
      </c>
      <c r="AF49" s="654" t="s">
        <v>233</v>
      </c>
      <c r="AG49" s="654" t="s">
        <v>233</v>
      </c>
      <c r="AH49" s="654" t="s">
        <v>233</v>
      </c>
      <c r="AI49" s="654" t="s">
        <v>233</v>
      </c>
      <c r="AJ49" s="654" t="s">
        <v>233</v>
      </c>
      <c r="AK49" s="654"/>
      <c r="AL49" s="654" t="s">
        <v>233</v>
      </c>
      <c r="AM49" s="654" t="s">
        <v>233</v>
      </c>
      <c r="AN49" s="654" t="s">
        <v>233</v>
      </c>
      <c r="AO49" s="654" t="s">
        <v>233</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490</v>
      </c>
      <c r="L50" s="647" t="s">
        <v>487</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491</v>
      </c>
      <c r="L51" s="647" t="s">
        <v>487</v>
      </c>
      <c r="M51" s="653"/>
      <c r="N51" s="654" t="s">
        <v>233</v>
      </c>
      <c r="O51" s="654" t="s">
        <v>233</v>
      </c>
      <c r="P51" s="654" t="s">
        <v>233</v>
      </c>
      <c r="Q51" s="654" t="s">
        <v>233</v>
      </c>
      <c r="R51" s="654"/>
      <c r="S51" s="654"/>
      <c r="T51" s="654"/>
      <c r="U51" s="654" t="s">
        <v>233</v>
      </c>
      <c r="V51" s="654" t="s">
        <v>233</v>
      </c>
      <c r="W51" s="654" t="s">
        <v>233</v>
      </c>
      <c r="X51" s="654" t="s">
        <v>233</v>
      </c>
      <c r="Y51" s="654"/>
      <c r="Z51" s="654"/>
      <c r="AA51" s="654"/>
      <c r="AB51" s="654" t="s">
        <v>233</v>
      </c>
      <c r="AC51" s="654" t="s">
        <v>233</v>
      </c>
      <c r="AD51" s="654" t="s">
        <v>233</v>
      </c>
      <c r="AE51" s="654"/>
      <c r="AF51" s="654"/>
      <c r="AG51" s="654"/>
      <c r="AH51" s="654"/>
      <c r="AI51" s="654" t="s">
        <v>233</v>
      </c>
      <c r="AJ51" s="654" t="s">
        <v>233</v>
      </c>
      <c r="AK51" s="654" t="s">
        <v>233</v>
      </c>
      <c r="AL51" s="654" t="s">
        <v>233</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492</v>
      </c>
      <c r="L52" s="647" t="s">
        <v>487</v>
      </c>
      <c r="M52" s="648"/>
      <c r="N52" s="654" t="s">
        <v>233</v>
      </c>
      <c r="O52" s="654" t="s">
        <v>233</v>
      </c>
      <c r="P52" s="654"/>
      <c r="Q52" s="654" t="s">
        <v>233</v>
      </c>
      <c r="R52" s="654" t="s">
        <v>233</v>
      </c>
      <c r="S52" s="654" t="s">
        <v>233</v>
      </c>
      <c r="T52" s="654" t="s">
        <v>233</v>
      </c>
      <c r="U52" s="654" t="s">
        <v>233</v>
      </c>
      <c r="V52" s="654" t="s">
        <v>233</v>
      </c>
      <c r="W52" s="654"/>
      <c r="X52" s="654" t="s">
        <v>233</v>
      </c>
      <c r="Y52" s="654" t="s">
        <v>233</v>
      </c>
      <c r="Z52" s="654" t="s">
        <v>233</v>
      </c>
      <c r="AA52" s="654" t="s">
        <v>233</v>
      </c>
      <c r="AB52" s="654" t="s">
        <v>233</v>
      </c>
      <c r="AC52" s="654" t="s">
        <v>233</v>
      </c>
      <c r="AD52" s="654"/>
      <c r="AE52" s="654" t="s">
        <v>233</v>
      </c>
      <c r="AF52" s="654" t="s">
        <v>233</v>
      </c>
      <c r="AG52" s="654" t="s">
        <v>233</v>
      </c>
      <c r="AH52" s="654" t="s">
        <v>233</v>
      </c>
      <c r="AI52" s="654" t="s">
        <v>233</v>
      </c>
      <c r="AJ52" s="654" t="s">
        <v>233</v>
      </c>
      <c r="AK52" s="654"/>
      <c r="AL52" s="654" t="s">
        <v>233</v>
      </c>
      <c r="AM52" s="654" t="s">
        <v>233</v>
      </c>
      <c r="AN52" s="654" t="s">
        <v>233</v>
      </c>
      <c r="AO52" s="654" t="s">
        <v>233</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487</v>
      </c>
      <c r="M53" s="648"/>
      <c r="N53" s="654" t="s">
        <v>233</v>
      </c>
      <c r="O53" s="654"/>
      <c r="P53" s="654"/>
      <c r="Q53" s="654"/>
      <c r="R53" s="654"/>
      <c r="S53" s="654"/>
      <c r="T53" s="654" t="s">
        <v>233</v>
      </c>
      <c r="U53" s="654" t="s">
        <v>233</v>
      </c>
      <c r="V53" s="654"/>
      <c r="W53" s="654"/>
      <c r="X53" s="654" t="s">
        <v>233</v>
      </c>
      <c r="Y53" s="654"/>
      <c r="Z53" s="654"/>
      <c r="AA53" s="654" t="s">
        <v>233</v>
      </c>
      <c r="AB53" s="654" t="s">
        <v>233</v>
      </c>
      <c r="AC53" s="654"/>
      <c r="AD53" s="654" t="s">
        <v>233</v>
      </c>
      <c r="AE53" s="654"/>
      <c r="AF53" s="654"/>
      <c r="AG53" s="654" t="s">
        <v>233</v>
      </c>
      <c r="AH53" s="654" t="s">
        <v>233</v>
      </c>
      <c r="AI53" s="654"/>
      <c r="AJ53" s="654" t="s">
        <v>233</v>
      </c>
      <c r="AK53" s="654"/>
      <c r="AL53" s="654"/>
      <c r="AM53" s="654"/>
      <c r="AN53" s="654"/>
      <c r="AO53" s="654" t="s">
        <v>233</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204</v>
      </c>
      <c r="L54" s="647" t="s">
        <v>487</v>
      </c>
      <c r="M54" s="653"/>
      <c r="N54" s="654" t="s">
        <v>233</v>
      </c>
      <c r="O54" s="654" t="s">
        <v>233</v>
      </c>
      <c r="P54" s="654"/>
      <c r="Q54" s="654"/>
      <c r="R54" s="654"/>
      <c r="S54" s="654" t="s">
        <v>233</v>
      </c>
      <c r="T54" s="654" t="s">
        <v>233</v>
      </c>
      <c r="U54" s="654" t="s">
        <v>233</v>
      </c>
      <c r="V54" s="654" t="s">
        <v>233</v>
      </c>
      <c r="W54" s="654"/>
      <c r="X54" s="654"/>
      <c r="Y54" s="654"/>
      <c r="Z54" s="654" t="s">
        <v>233</v>
      </c>
      <c r="AA54" s="654" t="s">
        <v>233</v>
      </c>
      <c r="AB54" s="654" t="s">
        <v>233</v>
      </c>
      <c r="AC54" s="654" t="s">
        <v>233</v>
      </c>
      <c r="AD54" s="654"/>
      <c r="AE54" s="654"/>
      <c r="AF54" s="654"/>
      <c r="AG54" s="654" t="s">
        <v>233</v>
      </c>
      <c r="AH54" s="654" t="s">
        <v>233</v>
      </c>
      <c r="AI54" s="654" t="s">
        <v>233</v>
      </c>
      <c r="AJ54" s="654" t="s">
        <v>233</v>
      </c>
      <c r="AK54" s="654"/>
      <c r="AL54" s="654"/>
      <c r="AM54" s="654"/>
      <c r="AN54" s="654" t="s">
        <v>233</v>
      </c>
      <c r="AO54" s="654" t="s">
        <v>233</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487</v>
      </c>
      <c r="M55" s="653"/>
      <c r="N55" s="654" t="s">
        <v>233</v>
      </c>
      <c r="O55" s="654" t="s">
        <v>233</v>
      </c>
      <c r="P55" s="654" t="s">
        <v>233</v>
      </c>
      <c r="Q55" s="654"/>
      <c r="R55" s="654" t="s">
        <v>233</v>
      </c>
      <c r="S55" s="654" t="s">
        <v>233</v>
      </c>
      <c r="T55" s="654" t="s">
        <v>233</v>
      </c>
      <c r="U55" s="654" t="s">
        <v>233</v>
      </c>
      <c r="V55" s="654" t="s">
        <v>233</v>
      </c>
      <c r="W55" s="654" t="s">
        <v>233</v>
      </c>
      <c r="X55" s="654"/>
      <c r="Y55" s="654" t="s">
        <v>233</v>
      </c>
      <c r="Z55" s="654" t="s">
        <v>233</v>
      </c>
      <c r="AA55" s="654" t="s">
        <v>233</v>
      </c>
      <c r="AB55" s="654" t="s">
        <v>233</v>
      </c>
      <c r="AC55" s="654" t="s">
        <v>233</v>
      </c>
      <c r="AD55" s="654" t="s">
        <v>233</v>
      </c>
      <c r="AE55" s="654"/>
      <c r="AF55" s="654" t="s">
        <v>233</v>
      </c>
      <c r="AG55" s="654"/>
      <c r="AH55" s="654" t="s">
        <v>233</v>
      </c>
      <c r="AI55" s="654" t="s">
        <v>233</v>
      </c>
      <c r="AJ55" s="654" t="s">
        <v>233</v>
      </c>
      <c r="AK55" s="654" t="s">
        <v>233</v>
      </c>
      <c r="AL55" s="654"/>
      <c r="AM55" s="654" t="s">
        <v>233</v>
      </c>
      <c r="AN55" s="654" t="s">
        <v>233</v>
      </c>
      <c r="AO55" s="654" t="s">
        <v>233</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493</v>
      </c>
      <c r="L56" s="647" t="s">
        <v>487</v>
      </c>
      <c r="M56" s="653"/>
      <c r="N56" s="654" t="s">
        <v>233</v>
      </c>
      <c r="O56" s="654"/>
      <c r="P56" s="654" t="s">
        <v>233</v>
      </c>
      <c r="Q56" s="654" t="s">
        <v>233</v>
      </c>
      <c r="R56" s="654" t="s">
        <v>233</v>
      </c>
      <c r="S56" s="654" t="s">
        <v>233</v>
      </c>
      <c r="T56" s="654" t="s">
        <v>233</v>
      </c>
      <c r="U56" s="654" t="s">
        <v>233</v>
      </c>
      <c r="V56" s="654"/>
      <c r="W56" s="654" t="s">
        <v>233</v>
      </c>
      <c r="X56" s="654" t="s">
        <v>233</v>
      </c>
      <c r="Y56" s="654" t="s">
        <v>233</v>
      </c>
      <c r="Z56" s="654" t="s">
        <v>233</v>
      </c>
      <c r="AA56" s="654" t="s">
        <v>233</v>
      </c>
      <c r="AB56" s="654" t="s">
        <v>233</v>
      </c>
      <c r="AC56" s="654"/>
      <c r="AD56" s="654" t="s">
        <v>233</v>
      </c>
      <c r="AE56" s="654" t="s">
        <v>233</v>
      </c>
      <c r="AF56" s="654" t="s">
        <v>233</v>
      </c>
      <c r="AG56" s="654" t="s">
        <v>233</v>
      </c>
      <c r="AH56" s="654" t="s">
        <v>233</v>
      </c>
      <c r="AI56" s="654" t="s">
        <v>233</v>
      </c>
      <c r="AJ56" s="654"/>
      <c r="AK56" s="654" t="s">
        <v>233</v>
      </c>
      <c r="AL56" s="654" t="s">
        <v>233</v>
      </c>
      <c r="AM56" s="654" t="s">
        <v>233</v>
      </c>
      <c r="AN56" s="654" t="s">
        <v>233</v>
      </c>
      <c r="AO56" s="654" t="s">
        <v>233</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494</v>
      </c>
      <c r="L57" s="647" t="s">
        <v>487</v>
      </c>
      <c r="M57" s="653"/>
      <c r="N57" s="654" t="s">
        <v>233</v>
      </c>
      <c r="O57" s="654" t="s">
        <v>233</v>
      </c>
      <c r="P57" s="654" t="s">
        <v>233</v>
      </c>
      <c r="Q57" s="654" t="s">
        <v>233</v>
      </c>
      <c r="R57" s="654" t="s">
        <v>233</v>
      </c>
      <c r="S57" s="654" t="s">
        <v>233</v>
      </c>
      <c r="T57" s="649"/>
      <c r="U57" s="654" t="s">
        <v>233</v>
      </c>
      <c r="V57" s="654" t="s">
        <v>233</v>
      </c>
      <c r="W57" s="654" t="s">
        <v>233</v>
      </c>
      <c r="X57" s="654" t="s">
        <v>233</v>
      </c>
      <c r="Y57" s="654" t="s">
        <v>233</v>
      </c>
      <c r="Z57" s="654" t="s">
        <v>233</v>
      </c>
      <c r="AA57" s="649"/>
      <c r="AB57" s="654" t="s">
        <v>233</v>
      </c>
      <c r="AC57" s="654" t="s">
        <v>233</v>
      </c>
      <c r="AD57" s="654" t="s">
        <v>233</v>
      </c>
      <c r="AE57" s="654" t="s">
        <v>233</v>
      </c>
      <c r="AF57" s="654" t="s">
        <v>233</v>
      </c>
      <c r="AG57" s="654" t="s">
        <v>233</v>
      </c>
      <c r="AH57" s="654"/>
      <c r="AI57" s="654" t="s">
        <v>233</v>
      </c>
      <c r="AJ57" s="654" t="s">
        <v>233</v>
      </c>
      <c r="AK57" s="654" t="s">
        <v>233</v>
      </c>
      <c r="AL57" s="654" t="s">
        <v>233</v>
      </c>
      <c r="AM57" s="654" t="s">
        <v>233</v>
      </c>
      <c r="AN57" s="654" t="s">
        <v>233</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495</v>
      </c>
      <c r="L58" s="647" t="s">
        <v>487</v>
      </c>
      <c r="M58" s="653"/>
      <c r="N58" s="654" t="s">
        <v>233</v>
      </c>
      <c r="O58" s="654"/>
      <c r="P58" s="654" t="s">
        <v>233</v>
      </c>
      <c r="Q58" s="649"/>
      <c r="R58" s="654" t="s">
        <v>233</v>
      </c>
      <c r="S58" s="654"/>
      <c r="T58" s="654" t="s">
        <v>233</v>
      </c>
      <c r="U58" s="654"/>
      <c r="V58" s="654"/>
      <c r="W58" s="654" t="s">
        <v>233</v>
      </c>
      <c r="X58" s="654"/>
      <c r="Y58" s="654" t="s">
        <v>233</v>
      </c>
      <c r="Z58" s="654"/>
      <c r="AA58" s="654" t="s">
        <v>233</v>
      </c>
      <c r="AB58" s="654"/>
      <c r="AC58" s="654"/>
      <c r="AD58" s="654" t="s">
        <v>233</v>
      </c>
      <c r="AE58" s="654"/>
      <c r="AF58" s="654" t="s">
        <v>233</v>
      </c>
      <c r="AG58" s="654"/>
      <c r="AH58" s="654" t="s">
        <v>233</v>
      </c>
      <c r="AI58" s="649"/>
      <c r="AJ58" s="654"/>
      <c r="AK58" s="654" t="s">
        <v>233</v>
      </c>
      <c r="AL58" s="649"/>
      <c r="AM58" s="654" t="s">
        <v>233</v>
      </c>
      <c r="AN58" s="654"/>
      <c r="AO58" s="654" t="s">
        <v>233</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496</v>
      </c>
      <c r="L59" s="647" t="s">
        <v>487</v>
      </c>
      <c r="M59" s="653"/>
      <c r="N59" s="654"/>
      <c r="O59" s="649"/>
      <c r="P59" s="654" t="s">
        <v>233</v>
      </c>
      <c r="Q59" s="654" t="s">
        <v>233</v>
      </c>
      <c r="R59" s="654" t="s">
        <v>233</v>
      </c>
      <c r="S59" s="654" t="s">
        <v>233</v>
      </c>
      <c r="T59" s="649"/>
      <c r="U59" s="649"/>
      <c r="V59" s="649"/>
      <c r="W59" s="654" t="s">
        <v>233</v>
      </c>
      <c r="X59" s="654" t="s">
        <v>233</v>
      </c>
      <c r="Y59" s="654" t="s">
        <v>233</v>
      </c>
      <c r="Z59" s="654" t="s">
        <v>233</v>
      </c>
      <c r="AA59" s="649"/>
      <c r="AB59" s="654"/>
      <c r="AC59" s="654"/>
      <c r="AD59" s="654" t="s">
        <v>233</v>
      </c>
      <c r="AE59" s="654" t="s">
        <v>233</v>
      </c>
      <c r="AF59" s="654" t="s">
        <v>233</v>
      </c>
      <c r="AG59" s="654" t="s">
        <v>233</v>
      </c>
      <c r="AH59" s="654"/>
      <c r="AI59" s="654"/>
      <c r="AJ59" s="654"/>
      <c r="AK59" s="654" t="s">
        <v>233</v>
      </c>
      <c r="AL59" s="654" t="s">
        <v>233</v>
      </c>
      <c r="AM59" s="654" t="s">
        <v>233</v>
      </c>
      <c r="AN59" s="654" t="s">
        <v>233</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497</v>
      </c>
      <c r="L60" s="647" t="s">
        <v>487</v>
      </c>
      <c r="M60" s="653"/>
      <c r="N60" s="654" t="s">
        <v>233</v>
      </c>
      <c r="O60" s="654" t="s">
        <v>233</v>
      </c>
      <c r="P60" s="654" t="s">
        <v>233</v>
      </c>
      <c r="Q60" s="654" t="s">
        <v>233</v>
      </c>
      <c r="R60" s="649"/>
      <c r="S60" s="654" t="s">
        <v>233</v>
      </c>
      <c r="T60" s="654" t="s">
        <v>233</v>
      </c>
      <c r="U60" s="654" t="s">
        <v>233</v>
      </c>
      <c r="V60" s="654" t="s">
        <v>233</v>
      </c>
      <c r="W60" s="654" t="s">
        <v>233</v>
      </c>
      <c r="X60" s="654" t="s">
        <v>233</v>
      </c>
      <c r="Y60" s="649"/>
      <c r="Z60" s="654" t="s">
        <v>233</v>
      </c>
      <c r="AA60" s="654" t="s">
        <v>233</v>
      </c>
      <c r="AB60" s="654" t="s">
        <v>233</v>
      </c>
      <c r="AC60" s="654" t="s">
        <v>233</v>
      </c>
      <c r="AD60" s="654" t="s">
        <v>233</v>
      </c>
      <c r="AE60" s="654" t="s">
        <v>233</v>
      </c>
      <c r="AF60" s="649"/>
      <c r="AG60" s="654" t="s">
        <v>233</v>
      </c>
      <c r="AH60" s="654" t="s">
        <v>233</v>
      </c>
      <c r="AI60" s="654" t="s">
        <v>233</v>
      </c>
      <c r="AJ60" s="654" t="s">
        <v>233</v>
      </c>
      <c r="AK60" s="654" t="s">
        <v>233</v>
      </c>
      <c r="AL60" s="654" t="s">
        <v>233</v>
      </c>
      <c r="AM60" s="649"/>
      <c r="AN60" s="654" t="s">
        <v>233</v>
      </c>
      <c r="AO60" s="654" t="s">
        <v>233</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498</v>
      </c>
      <c r="L61" s="647" t="s">
        <v>487</v>
      </c>
      <c r="M61" s="653"/>
      <c r="N61" s="654"/>
      <c r="O61" s="654" t="s">
        <v>233</v>
      </c>
      <c r="P61" s="654" t="s">
        <v>233</v>
      </c>
      <c r="Q61" s="654"/>
      <c r="R61" s="654" t="s">
        <v>233</v>
      </c>
      <c r="S61" s="654" t="s">
        <v>233</v>
      </c>
      <c r="T61" s="654" t="s">
        <v>233</v>
      </c>
      <c r="U61" s="654"/>
      <c r="V61" s="654" t="s">
        <v>233</v>
      </c>
      <c r="W61" s="654" t="s">
        <v>233</v>
      </c>
      <c r="X61" s="654"/>
      <c r="Y61" s="654" t="s">
        <v>233</v>
      </c>
      <c r="Z61" s="654" t="s">
        <v>233</v>
      </c>
      <c r="AA61" s="654" t="s">
        <v>233</v>
      </c>
      <c r="AB61" s="654"/>
      <c r="AC61" s="654" t="s">
        <v>233</v>
      </c>
      <c r="AD61" s="654" t="s">
        <v>233</v>
      </c>
      <c r="AE61" s="654"/>
      <c r="AF61" s="654" t="s">
        <v>233</v>
      </c>
      <c r="AG61" s="654" t="s">
        <v>233</v>
      </c>
      <c r="AH61" s="654" t="s">
        <v>233</v>
      </c>
      <c r="AI61" s="654"/>
      <c r="AJ61" s="654" t="s">
        <v>233</v>
      </c>
      <c r="AK61" s="654" t="s">
        <v>233</v>
      </c>
      <c r="AL61" s="654"/>
      <c r="AM61" s="654" t="s">
        <v>233</v>
      </c>
      <c r="AN61" s="654" t="s">
        <v>233</v>
      </c>
      <c r="AO61" s="654" t="s">
        <v>233</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499</v>
      </c>
      <c r="L62" s="647" t="s">
        <v>487</v>
      </c>
      <c r="M62" s="653"/>
      <c r="N62" s="654" t="s">
        <v>233</v>
      </c>
      <c r="O62" s="654" t="s">
        <v>233</v>
      </c>
      <c r="P62" s="654" t="s">
        <v>233</v>
      </c>
      <c r="Q62" s="654" t="s">
        <v>233</v>
      </c>
      <c r="R62" s="654" t="s">
        <v>233</v>
      </c>
      <c r="S62" s="654"/>
      <c r="T62" s="654" t="s">
        <v>233</v>
      </c>
      <c r="U62" s="654" t="s">
        <v>233</v>
      </c>
      <c r="V62" s="654" t="s">
        <v>233</v>
      </c>
      <c r="W62" s="654" t="s">
        <v>233</v>
      </c>
      <c r="X62" s="654" t="s">
        <v>233</v>
      </c>
      <c r="Y62" s="654" t="s">
        <v>233</v>
      </c>
      <c r="Z62" s="654"/>
      <c r="AA62" s="654" t="s">
        <v>233</v>
      </c>
      <c r="AB62" s="654" t="s">
        <v>233</v>
      </c>
      <c r="AC62" s="654" t="s">
        <v>233</v>
      </c>
      <c r="AD62" s="654" t="s">
        <v>233</v>
      </c>
      <c r="AE62" s="654" t="s">
        <v>233</v>
      </c>
      <c r="AF62" s="654" t="s">
        <v>233</v>
      </c>
      <c r="AG62" s="654"/>
      <c r="AH62" s="654" t="s">
        <v>233</v>
      </c>
      <c r="AI62" s="654" t="s">
        <v>233</v>
      </c>
      <c r="AJ62" s="654" t="s">
        <v>233</v>
      </c>
      <c r="AK62" s="654" t="s">
        <v>233</v>
      </c>
      <c r="AL62" s="654" t="s">
        <v>233</v>
      </c>
      <c r="AM62" s="654" t="s">
        <v>233</v>
      </c>
      <c r="AN62" s="654"/>
      <c r="AO62" s="654" t="s">
        <v>233</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500</v>
      </c>
      <c r="M63" s="653"/>
      <c r="N63" s="654"/>
      <c r="O63" s="654"/>
      <c r="P63" s="654"/>
      <c r="Q63" s="654"/>
      <c r="R63" s="654"/>
      <c r="S63" s="654" t="s">
        <v>233</v>
      </c>
      <c r="T63" s="654" t="s">
        <v>233</v>
      </c>
      <c r="U63" s="654" t="s">
        <v>233</v>
      </c>
      <c r="V63" s="654"/>
      <c r="W63" s="654"/>
      <c r="X63" s="654"/>
      <c r="Y63" s="654"/>
      <c r="Z63" s="654" t="s">
        <v>233</v>
      </c>
      <c r="AA63" s="654" t="s">
        <v>233</v>
      </c>
      <c r="AB63" s="654" t="s">
        <v>233</v>
      </c>
      <c r="AC63" s="654"/>
      <c r="AD63" s="654"/>
      <c r="AE63" s="654"/>
      <c r="AF63" s="654"/>
      <c r="AG63" s="654" t="s">
        <v>233</v>
      </c>
      <c r="AH63" s="654" t="s">
        <v>233</v>
      </c>
      <c r="AI63" s="654" t="s">
        <v>233</v>
      </c>
      <c r="AJ63" s="654"/>
      <c r="AK63" s="654"/>
      <c r="AL63" s="654"/>
      <c r="AM63" s="654"/>
      <c r="AN63" s="654" t="s">
        <v>233</v>
      </c>
      <c r="AO63" s="654" t="s">
        <v>233</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586</v>
      </c>
      <c r="L64" s="647" t="s">
        <v>500</v>
      </c>
      <c r="M64" s="653"/>
      <c r="N64" s="654" t="s">
        <v>233</v>
      </c>
      <c r="O64" s="654" t="s">
        <v>233</v>
      </c>
      <c r="P64" s="654" t="s">
        <v>233</v>
      </c>
      <c r="Q64" s="654" t="s">
        <v>233</v>
      </c>
      <c r="R64" s="654"/>
      <c r="S64" s="654"/>
      <c r="T64" s="654"/>
      <c r="U64" s="654" t="s">
        <v>233</v>
      </c>
      <c r="V64" s="654" t="s">
        <v>233</v>
      </c>
      <c r="W64" s="654" t="s">
        <v>233</v>
      </c>
      <c r="X64" s="654" t="s">
        <v>233</v>
      </c>
      <c r="Y64" s="654"/>
      <c r="Z64" s="654"/>
      <c r="AA64" s="654"/>
      <c r="AB64" s="654" t="s">
        <v>233</v>
      </c>
      <c r="AC64" s="654" t="s">
        <v>233</v>
      </c>
      <c r="AD64" s="654" t="s">
        <v>233</v>
      </c>
      <c r="AE64" s="654" t="s">
        <v>233</v>
      </c>
      <c r="AF64" s="654"/>
      <c r="AG64" s="654"/>
      <c r="AH64" s="654"/>
      <c r="AI64" s="654" t="s">
        <v>443</v>
      </c>
      <c r="AJ64" s="654" t="s">
        <v>233</v>
      </c>
      <c r="AK64" s="654" t="s">
        <v>233</v>
      </c>
      <c r="AL64" s="654" t="s">
        <v>233</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587</v>
      </c>
      <c r="L65" s="647" t="s">
        <v>500</v>
      </c>
      <c r="M65" s="653"/>
      <c r="N65" s="654"/>
      <c r="O65" s="654" t="s">
        <v>427</v>
      </c>
      <c r="P65" s="654"/>
      <c r="Q65" s="654"/>
      <c r="R65" s="654" t="s">
        <v>427</v>
      </c>
      <c r="S65" s="654" t="s">
        <v>427</v>
      </c>
      <c r="T65" s="654"/>
      <c r="U65" s="654"/>
      <c r="V65" s="654" t="s">
        <v>427</v>
      </c>
      <c r="W65" s="654"/>
      <c r="X65" s="654"/>
      <c r="Y65" s="654" t="s">
        <v>427</v>
      </c>
      <c r="Z65" s="654" t="s">
        <v>427</v>
      </c>
      <c r="AA65" s="654"/>
      <c r="AB65" s="654"/>
      <c r="AC65" s="654" t="s">
        <v>427</v>
      </c>
      <c r="AD65" s="654"/>
      <c r="AE65" s="654"/>
      <c r="AF65" s="654" t="s">
        <v>427</v>
      </c>
      <c r="AG65" s="654" t="s">
        <v>427</v>
      </c>
      <c r="AH65" s="654"/>
      <c r="AI65" s="654"/>
      <c r="AJ65" s="654" t="s">
        <v>427</v>
      </c>
      <c r="AK65" s="654"/>
      <c r="AL65" s="654"/>
      <c r="AM65" s="654" t="s">
        <v>427</v>
      </c>
      <c r="AN65" s="654" t="s">
        <v>427</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503</v>
      </c>
      <c r="L66" s="647" t="s">
        <v>500</v>
      </c>
      <c r="M66" s="653"/>
      <c r="N66" s="649"/>
      <c r="O66" s="649"/>
      <c r="P66" s="654" t="s">
        <v>427</v>
      </c>
      <c r="Q66" s="649"/>
      <c r="R66" s="649"/>
      <c r="S66" s="649"/>
      <c r="T66" s="654" t="s">
        <v>427</v>
      </c>
      <c r="U66" s="654"/>
      <c r="V66" s="654"/>
      <c r="W66" s="654" t="s">
        <v>427</v>
      </c>
      <c r="X66" s="654"/>
      <c r="Y66" s="654"/>
      <c r="Z66" s="654"/>
      <c r="AA66" s="654" t="s">
        <v>427</v>
      </c>
      <c r="AB66" s="654"/>
      <c r="AC66" s="654"/>
      <c r="AD66" s="654" t="s">
        <v>427</v>
      </c>
      <c r="AE66" s="654"/>
      <c r="AF66" s="654"/>
      <c r="AG66" s="649"/>
      <c r="AH66" s="654" t="s">
        <v>427</v>
      </c>
      <c r="AI66" s="649"/>
      <c r="AJ66" s="649"/>
      <c r="AK66" s="654" t="s">
        <v>427</v>
      </c>
      <c r="AL66" s="649"/>
      <c r="AM66" s="649"/>
      <c r="AN66" s="649"/>
      <c r="AO66" s="654" t="s">
        <v>427</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933" t="s">
        <v>588</v>
      </c>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t="s">
        <v>641</v>
      </c>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46054.0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c r="H6" s="698" t="s">
        <v>37</v>
      </c>
      <c r="I6" s="699" t="s">
        <v>642</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2</v>
      </c>
      <c r="W7" s="717"/>
      <c r="X7" s="708" t="s">
        <v>525</v>
      </c>
      <c r="Y7" s="675"/>
      <c r="Z7" s="675"/>
    </row>
    <row r="8" ht="17.25" customHeight="1" collapsed="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なし</v>
      </c>
      <c r="W8" s="729"/>
      <c r="X8" s="730">
        <v>46054.0</v>
      </c>
      <c r="Y8" s="675"/>
      <c r="Z8" s="675"/>
    </row>
    <row r="9" hidden="1" outlineLevel="1">
      <c r="A9" s="675"/>
      <c r="B9" s="731"/>
      <c r="C9" s="732">
        <f>D5</f>
        <v>46054</v>
      </c>
      <c r="D9" s="733" t="str">
        <f>TEXT(C9,"ddd")</f>
        <v>日</v>
      </c>
      <c r="E9" s="734"/>
      <c r="F9" s="735" t="s">
        <v>119</v>
      </c>
      <c r="G9" s="736" t="s">
        <v>643</v>
      </c>
      <c r="H9" s="737"/>
      <c r="I9" s="738">
        <v>0.6486111111111111</v>
      </c>
      <c r="J9" s="737">
        <v>12.0</v>
      </c>
      <c r="K9" s="737">
        <v>3.0</v>
      </c>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591</v>
      </c>
      <c r="W9" s="729"/>
      <c r="X9" s="730">
        <v>46082.0</v>
      </c>
      <c r="Y9" s="675"/>
      <c r="Z9" s="675"/>
    </row>
    <row r="10" hidden="1"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592</v>
      </c>
      <c r="W10" s="729"/>
      <c r="X10" s="730">
        <v>46113.0</v>
      </c>
      <c r="Y10" s="675"/>
      <c r="Z10" s="675"/>
    </row>
    <row r="11" hidden="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594</v>
      </c>
      <c r="W11" s="729"/>
      <c r="X11" s="730">
        <v>46143.0</v>
      </c>
      <c r="Y11" s="675"/>
      <c r="Z11" s="675"/>
    </row>
    <row r="12" hidden="1"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595</v>
      </c>
      <c r="W12" s="729"/>
      <c r="X12" s="730">
        <v>46174.0</v>
      </c>
      <c r="Y12" s="675"/>
      <c r="Z12" s="675"/>
    </row>
    <row r="13" hidden="1"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598</v>
      </c>
      <c r="W13" s="729"/>
      <c r="X13" s="730">
        <v>46204.0</v>
      </c>
      <c r="Y13" s="675"/>
      <c r="Z13" s="675"/>
    </row>
    <row r="14" hidden="1"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599</v>
      </c>
      <c r="W14" s="729"/>
      <c r="X14" s="730">
        <v>46235.0</v>
      </c>
      <c r="Y14" s="675"/>
      <c r="Z14" s="675"/>
    </row>
    <row r="15" hidden="1"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596</v>
      </c>
      <c r="W15" s="729"/>
      <c r="X15" s="730">
        <v>46266.0</v>
      </c>
      <c r="Y15" s="675"/>
      <c r="Z15" s="675"/>
    </row>
    <row r="16" hidden="1"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597</v>
      </c>
      <c r="W16" s="729"/>
      <c r="X16" s="730">
        <v>46296.0</v>
      </c>
      <c r="Y16" s="675"/>
      <c r="Z16" s="675"/>
    </row>
    <row r="17" hidden="1"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190</v>
      </c>
      <c r="W17" s="729"/>
      <c r="X17" s="730">
        <v>46327.0</v>
      </c>
      <c r="Y17" s="675"/>
      <c r="Z17" s="675"/>
    </row>
    <row r="18" ht="81.75" hidden="1" customHeight="1"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639</v>
      </c>
      <c r="W18" s="729"/>
      <c r="X18" s="730">
        <v>46357.0</v>
      </c>
      <c r="Y18" s="675"/>
      <c r="Z18" s="675"/>
    </row>
    <row r="19" ht="18.0" hidden="1" customHeight="1" outlineLevel="1">
      <c r="B19" s="751"/>
      <c r="C19" s="710"/>
      <c r="D19" s="710"/>
      <c r="E19" s="710"/>
      <c r="F19" s="752" t="s">
        <v>528</v>
      </c>
      <c r="G19" s="753" t="s">
        <v>644</v>
      </c>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200</v>
      </c>
      <c r="W19" s="729"/>
      <c r="X19" s="730">
        <v>46388.0</v>
      </c>
      <c r="Y19" s="675"/>
      <c r="Z19" s="675"/>
    </row>
    <row r="20" hidden="1" outlineLevel="1">
      <c r="A20" s="675"/>
      <c r="B20" s="756"/>
      <c r="C20" s="757">
        <f>IF(C9="","",IF(DAY(C9+1)=1,"",C9+1))</f>
        <v>46055</v>
      </c>
      <c r="D20" s="758" t="str">
        <f>TEXT(C20,"ddd")</f>
        <v>月</v>
      </c>
      <c r="E20" s="759"/>
      <c r="F20" s="760" t="s">
        <v>100</v>
      </c>
      <c r="G20" s="761" t="s">
        <v>645</v>
      </c>
      <c r="H20" s="762"/>
      <c r="I20" s="763">
        <v>0.6347222222222222</v>
      </c>
      <c r="J20" s="762">
        <v>9.0</v>
      </c>
      <c r="K20" s="762">
        <v>1.0</v>
      </c>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102</v>
      </c>
      <c r="W20" s="729"/>
      <c r="X20" s="730"/>
      <c r="Y20" s="675"/>
      <c r="Z20" s="675"/>
    </row>
    <row r="21" hidden="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157</v>
      </c>
      <c r="W21" s="729"/>
      <c r="X21" s="730"/>
      <c r="Y21" s="675"/>
      <c r="Z21" s="675"/>
    </row>
    <row r="22" hidden="1"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488</v>
      </c>
      <c r="W22" s="729"/>
      <c r="X22" s="730"/>
      <c r="Y22" s="675"/>
      <c r="Z22" s="675"/>
    </row>
    <row r="23" hidden="1"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197</v>
      </c>
      <c r="W23" s="675"/>
      <c r="X23" s="770"/>
      <c r="Y23" s="675"/>
      <c r="Z23" s="675"/>
    </row>
    <row r="24" hidden="1"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490</v>
      </c>
      <c r="W24" s="675"/>
      <c r="X24" s="770"/>
      <c r="Y24" s="675"/>
      <c r="Z24" s="675"/>
    </row>
    <row r="25" hidden="1"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503</v>
      </c>
      <c r="W25" s="675"/>
      <c r="X25" s="770"/>
      <c r="Y25" s="675"/>
      <c r="Z25" s="675"/>
    </row>
    <row r="26" hidden="1"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491</v>
      </c>
      <c r="W26" s="675"/>
      <c r="X26" s="770"/>
      <c r="Y26" s="675"/>
      <c r="Z26" s="675"/>
    </row>
    <row r="27" hidden="1"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196</v>
      </c>
      <c r="W27" s="675"/>
      <c r="X27" s="770"/>
      <c r="Y27" s="675"/>
      <c r="Z27" s="675"/>
    </row>
    <row r="28" hidden="1"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587</v>
      </c>
      <c r="W28" s="675"/>
      <c r="X28" s="770"/>
      <c r="Y28" s="675"/>
      <c r="Z28" s="675"/>
    </row>
    <row r="29" ht="60.0" hidden="1" customHeight="1"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640</v>
      </c>
      <c r="W29" s="675"/>
      <c r="X29" s="770"/>
      <c r="Y29" s="675"/>
      <c r="Z29" s="675"/>
    </row>
    <row r="30" ht="18.0" hidden="1" customHeight="1" outlineLevel="1">
      <c r="A30" s="675"/>
      <c r="B30" s="751"/>
      <c r="C30" s="710"/>
      <c r="D30" s="710"/>
      <c r="E30" s="710"/>
      <c r="F30" s="771" t="s">
        <v>528</v>
      </c>
      <c r="G30" s="772" t="s">
        <v>646</v>
      </c>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492</v>
      </c>
      <c r="W30" s="675"/>
      <c r="X30" s="770"/>
      <c r="Y30" s="675"/>
      <c r="Z30" s="675"/>
    </row>
    <row r="31" hidden="1" outlineLevel="1">
      <c r="A31" s="675"/>
      <c r="B31" s="774"/>
      <c r="C31" s="775">
        <f>IF(C20="","",IF(DAY(C20+1)=1,"",C20+1))</f>
        <v>46056</v>
      </c>
      <c r="D31" s="776" t="str">
        <f>TEXT(C31,"ddd")</f>
        <v>火</v>
      </c>
      <c r="E31" s="777"/>
      <c r="F31" s="778" t="s">
        <v>119</v>
      </c>
      <c r="G31" s="779" t="s">
        <v>647</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103</v>
      </c>
      <c r="W31" s="675"/>
      <c r="X31" s="770"/>
      <c r="Y31" s="675"/>
      <c r="Z31" s="675"/>
    </row>
    <row r="32" hidden="1"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137</v>
      </c>
      <c r="W32" s="675"/>
      <c r="X32" s="770"/>
      <c r="Y32" s="675"/>
      <c r="Z32" s="675"/>
    </row>
    <row r="33" hidden="1"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495</v>
      </c>
      <c r="W33" s="675"/>
      <c r="X33" s="770"/>
      <c r="Y33" s="675"/>
      <c r="Z33" s="675"/>
    </row>
    <row r="34" hidden="1"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497</v>
      </c>
      <c r="W34" s="675"/>
      <c r="X34" s="770"/>
      <c r="Y34" s="675"/>
      <c r="Z34" s="675"/>
    </row>
    <row r="35" hidden="1"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498</v>
      </c>
      <c r="W35" s="675"/>
      <c r="X35" s="770"/>
      <c r="Y35" s="675"/>
      <c r="Z35" s="675"/>
    </row>
    <row r="36" hidden="1"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499</v>
      </c>
      <c r="W36" s="675"/>
      <c r="X36" s="770"/>
      <c r="Y36" s="675"/>
      <c r="Z36" s="675"/>
    </row>
    <row r="37" hidden="1"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584</v>
      </c>
      <c r="W37" s="675"/>
      <c r="X37" s="770"/>
      <c r="Y37" s="675"/>
      <c r="Z37" s="675"/>
    </row>
    <row r="38" hidden="1"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204</v>
      </c>
      <c r="W38" s="675"/>
      <c r="X38" s="770"/>
      <c r="Y38" s="675"/>
      <c r="Z38" s="675"/>
    </row>
    <row r="39" hidden="1"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136</v>
      </c>
      <c r="W39" s="675"/>
      <c r="X39" s="770"/>
      <c r="Y39" s="675"/>
      <c r="Z39" s="675"/>
    </row>
    <row r="40" hidden="1"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t="s">
        <v>586</v>
      </c>
      <c r="W40" s="675"/>
      <c r="X40" s="770"/>
      <c r="Y40" s="675"/>
      <c r="Z40" s="675"/>
    </row>
    <row r="41" ht="18.0" hidden="1" customHeight="1" outlineLevel="1">
      <c r="A41" s="675"/>
      <c r="B41" s="751"/>
      <c r="C41" s="710"/>
      <c r="D41" s="710"/>
      <c r="E41" s="710"/>
      <c r="F41" s="752" t="s">
        <v>528</v>
      </c>
      <c r="G41" s="753" t="s">
        <v>648</v>
      </c>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t="s">
        <v>478</v>
      </c>
      <c r="W41" s="675"/>
      <c r="X41" s="770"/>
      <c r="Y41" s="675"/>
      <c r="Z41" s="675"/>
    </row>
    <row r="42" hidden="1" outlineLevel="1">
      <c r="A42" s="675"/>
      <c r="B42" s="756"/>
      <c r="C42" s="757">
        <f>IF(C31="","",IF(DAY(C31+1)=1,"",C31+1))</f>
        <v>46057</v>
      </c>
      <c r="D42" s="758" t="str">
        <f>TEXT(C42,"ddd")</f>
        <v>水</v>
      </c>
      <c r="E42" s="759"/>
      <c r="F42" s="787" t="s">
        <v>119</v>
      </c>
      <c r="G42" s="788" t="s">
        <v>649</v>
      </c>
      <c r="H42" s="789"/>
      <c r="I42" s="790">
        <v>0.6506944444444445</v>
      </c>
      <c r="J42" s="789">
        <v>13.0</v>
      </c>
      <c r="K42" s="789">
        <v>3.0</v>
      </c>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hidden="1"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hidden="1"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hidden="1"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hidden="1"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hidden="1"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hidden="1"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hidden="1"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hidden="1"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hidden="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ht="18.0" hidden="1" customHeight="1" outlineLevel="1">
      <c r="A52" s="675"/>
      <c r="B52" s="751"/>
      <c r="C52" s="710"/>
      <c r="D52" s="710"/>
      <c r="E52" s="710"/>
      <c r="F52" s="771" t="s">
        <v>528</v>
      </c>
      <c r="G52" s="772" t="s">
        <v>650</v>
      </c>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hidden="1" outlineLevel="1">
      <c r="A53" s="675"/>
      <c r="B53" s="774"/>
      <c r="C53" s="775">
        <f>IF(C42="","",IF(DAY(C42+1)=1,"",C42+1))</f>
        <v>46058</v>
      </c>
      <c r="D53" s="776" t="str">
        <f>TEXT(C53,"ddd")</f>
        <v>木</v>
      </c>
      <c r="E53" s="777"/>
      <c r="F53" s="778" t="s">
        <v>119</v>
      </c>
      <c r="G53" s="779" t="s">
        <v>651</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hidden="1"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hidden="1"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hidden="1"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hidden="1"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hidden="1"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hidden="1"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hidden="1"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hidden="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hidden="1"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ht="18.0" hidden="1" customHeight="1" outlineLevel="1">
      <c r="A63" s="675"/>
      <c r="B63" s="751"/>
      <c r="C63" s="710"/>
      <c r="D63" s="710"/>
      <c r="E63" s="710"/>
      <c r="F63" s="752" t="s">
        <v>528</v>
      </c>
      <c r="G63" s="753" t="s">
        <v>652</v>
      </c>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t="17.25" hidden="1" customHeight="1" outlineLevel="1">
      <c r="A65" s="675"/>
      <c r="B65" s="756"/>
      <c r="C65" s="757">
        <f>IF(C53="","",IF(DAY(C53+1)=1,"",C53+1))</f>
        <v>46059</v>
      </c>
      <c r="D65" s="758" t="str">
        <f>TEXT(C65,"ddd")</f>
        <v>金</v>
      </c>
      <c r="E65" s="759"/>
      <c r="F65" s="787" t="s">
        <v>100</v>
      </c>
      <c r="G65" s="788" t="s">
        <v>653</v>
      </c>
      <c r="H65" s="789"/>
      <c r="I65" s="790">
        <v>0.6597222222222222</v>
      </c>
      <c r="J65" s="789">
        <v>14.0</v>
      </c>
      <c r="K65" s="789">
        <v>2.0</v>
      </c>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t="17.25" hidden="1" customHeight="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t="17.25" hidden="1" customHeight="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t="17.25" hidden="1" customHeight="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t="17.25" hidden="1" customHeight="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t="17.25" hidden="1" customHeight="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t="17.25" hidden="1" customHeight="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t="17.25" hidden="1" customHeight="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t="17.25" hidden="1" customHeight="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t="186.75" hidden="1" customHeight="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t="18.0" hidden="1" customHeight="1" outlineLevel="1">
      <c r="A75" s="675"/>
      <c r="B75" s="751"/>
      <c r="C75" s="710"/>
      <c r="D75" s="710"/>
      <c r="E75" s="710"/>
      <c r="F75" s="771" t="s">
        <v>528</v>
      </c>
      <c r="G75" s="772" t="s">
        <v>654</v>
      </c>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46060</v>
      </c>
      <c r="D76" s="776" t="str">
        <f>TEXT(C76,"ddd")</f>
        <v>土</v>
      </c>
      <c r="E76" s="777"/>
      <c r="F76" s="778" t="s">
        <v>111</v>
      </c>
      <c r="G76" s="779" t="s">
        <v>655</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t="18.0" hidden="1" customHeight="1" outlineLevel="1">
      <c r="A86" s="675"/>
      <c r="B86" s="751"/>
      <c r="C86" s="710"/>
      <c r="D86" s="710"/>
      <c r="E86" s="710"/>
      <c r="F86" s="752" t="s">
        <v>528</v>
      </c>
      <c r="G86" s="753" t="s">
        <v>656</v>
      </c>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46061</v>
      </c>
      <c r="D87" s="758" t="str">
        <f>TEXT(C87,"ddd")</f>
        <v>日</v>
      </c>
      <c r="E87" s="759"/>
      <c r="F87" s="787" t="s">
        <v>111</v>
      </c>
      <c r="G87" s="788" t="s">
        <v>657</v>
      </c>
      <c r="H87" s="789"/>
      <c r="I87" s="790">
        <v>0.6520833333333333</v>
      </c>
      <c r="J87" s="789">
        <v>15.0</v>
      </c>
      <c r="K87" s="789">
        <v>3.0</v>
      </c>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t="18.0" hidden="1" customHeight="1" outlineLevel="1">
      <c r="A97" s="675"/>
      <c r="B97" s="751"/>
      <c r="C97" s="710"/>
      <c r="D97" s="710"/>
      <c r="E97" s="710"/>
      <c r="F97" s="771" t="s">
        <v>528</v>
      </c>
      <c r="G97" s="772" t="s">
        <v>658</v>
      </c>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46062</v>
      </c>
      <c r="D98" s="776" t="str">
        <f>TEXT(C98,"ddd")</f>
        <v>月</v>
      </c>
      <c r="E98" s="777"/>
      <c r="F98" s="778" t="s">
        <v>111</v>
      </c>
      <c r="G98" s="779" t="s">
        <v>659</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46063</v>
      </c>
      <c r="D109" s="758" t="str">
        <f>TEXT(C109,"ddd")</f>
        <v>火</v>
      </c>
      <c r="E109" s="759"/>
      <c r="F109" s="787" t="s">
        <v>100</v>
      </c>
      <c r="G109" s="788" t="s">
        <v>660</v>
      </c>
      <c r="H109" s="789">
        <v>1.0</v>
      </c>
      <c r="I109" s="934">
        <v>0.6527777777777778</v>
      </c>
      <c r="J109" s="789">
        <v>7.0</v>
      </c>
      <c r="K109" s="789">
        <v>2.0</v>
      </c>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t="142.5" hidden="1" customHeight="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t="18.0" hidden="1" customHeight="1" outlineLevel="1">
      <c r="A119" s="675"/>
      <c r="B119" s="751"/>
      <c r="C119" s="710"/>
      <c r="D119" s="710"/>
      <c r="E119" s="710"/>
      <c r="F119" s="771" t="s">
        <v>528</v>
      </c>
      <c r="G119" s="772" t="s">
        <v>661</v>
      </c>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outlineLevel="1">
      <c r="A121" s="675"/>
      <c r="B121" s="774"/>
      <c r="C121" s="775">
        <f>IF(C109="","",IF(DAY(C109+1)=1,"",C109+1))</f>
        <v>46064</v>
      </c>
      <c r="D121" s="776" t="str">
        <f>TEXT(C121,"ddd")</f>
        <v>水</v>
      </c>
      <c r="E121" s="777"/>
      <c r="F121" s="778" t="s">
        <v>100</v>
      </c>
      <c r="G121" s="779" t="s">
        <v>662</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outlineLevel="1">
      <c r="A132" s="675"/>
      <c r="B132" s="756"/>
      <c r="C132" s="757">
        <f>IF(C121="","",IF(DAY(C121+1)=1,"",C121+1))</f>
        <v>46065</v>
      </c>
      <c r="D132" s="758" t="str">
        <f>TEXT(C132,"ddd")</f>
        <v>木</v>
      </c>
      <c r="E132" s="759"/>
      <c r="F132" s="787" t="s">
        <v>111</v>
      </c>
      <c r="G132" s="788" t="s">
        <v>663</v>
      </c>
      <c r="H132" s="789">
        <v>2.0</v>
      </c>
      <c r="I132" s="790">
        <v>0.6381944444444444</v>
      </c>
      <c r="J132" s="789">
        <v>12.0</v>
      </c>
      <c r="K132" s="789">
        <v>1.0</v>
      </c>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t="18.0" customHeight="1" outlineLevel="1">
      <c r="A142" s="675"/>
      <c r="B142" s="751"/>
      <c r="C142" s="710"/>
      <c r="D142" s="710"/>
      <c r="E142" s="710"/>
      <c r="F142" s="771" t="s">
        <v>528</v>
      </c>
      <c r="G142" s="772" t="s">
        <v>664</v>
      </c>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outlineLevel="1">
      <c r="A143" s="675"/>
      <c r="B143" s="774"/>
      <c r="C143" s="775">
        <f>IF(C132="","",IF(DAY(C132+1)=1,"",C132+1))</f>
        <v>46066</v>
      </c>
      <c r="D143" s="776" t="str">
        <f>TEXT(C143,"ddd")</f>
        <v>金</v>
      </c>
      <c r="E143" s="777"/>
      <c r="F143" s="778" t="s">
        <v>100</v>
      </c>
      <c r="G143" s="779" t="s">
        <v>665</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t="93.75" customHeight="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outlineLevel="1">
      <c r="A154" s="675"/>
      <c r="B154" s="756"/>
      <c r="C154" s="757">
        <f>IF(C143="","",IF(DAY(C143+1)=1,"",C143+1))</f>
        <v>46067</v>
      </c>
      <c r="D154" s="758" t="str">
        <f>TEXT(C154,"ddd")</f>
        <v>土</v>
      </c>
      <c r="E154" s="759"/>
      <c r="F154" s="787" t="s">
        <v>100</v>
      </c>
      <c r="G154" s="788" t="s">
        <v>666</v>
      </c>
      <c r="H154" s="789"/>
      <c r="I154" s="934">
        <v>0.6548611111111111</v>
      </c>
      <c r="J154" s="789">
        <v>13.0</v>
      </c>
      <c r="K154" s="789">
        <v>1.0</v>
      </c>
      <c r="L154" s="768" t="s">
        <v>640</v>
      </c>
      <c r="M154" s="768" t="s">
        <v>667</v>
      </c>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outlineLevel="1">
      <c r="A155" s="675"/>
      <c r="B155" s="742"/>
      <c r="C155" s="743"/>
      <c r="D155" s="743"/>
      <c r="E155" s="743"/>
      <c r="F155" s="743"/>
      <c r="G155" s="744"/>
      <c r="H155" s="743"/>
      <c r="I155" s="743"/>
      <c r="J155" s="743"/>
      <c r="K155" s="743"/>
      <c r="L155" s="768" t="s">
        <v>200</v>
      </c>
      <c r="M155" s="768" t="s">
        <v>668</v>
      </c>
      <c r="N155" s="743"/>
      <c r="O155" s="746"/>
      <c r="Q155" s="741"/>
      <c r="R155" s="675"/>
      <c r="S155" s="216" t="str">
        <f t="array" ref="S155">IFERROR(INDEX('💻シート作成'!$D$6:$D1001, MATCH(T155, '💻シート作成'!$E$6:$E1001, 0)), "")</f>
        <v/>
      </c>
      <c r="T155" s="172"/>
      <c r="U155" s="678"/>
      <c r="V155" s="728"/>
      <c r="W155" s="675"/>
      <c r="X155" s="770"/>
      <c r="Y155" s="675"/>
      <c r="Z155" s="675"/>
    </row>
    <row r="156"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outlineLevel="1">
      <c r="A165" s="675"/>
      <c r="B165" s="774"/>
      <c r="C165" s="775">
        <f>IF(C154="","",IF(DAY(C154+1)=1,"",C154+1))</f>
        <v>46068</v>
      </c>
      <c r="D165" s="776" t="str">
        <f>TEXT(C165,"ddd")</f>
        <v>日</v>
      </c>
      <c r="E165" s="777"/>
      <c r="F165" s="778" t="s">
        <v>111</v>
      </c>
      <c r="G165" s="779" t="s">
        <v>669</v>
      </c>
      <c r="H165" s="780"/>
      <c r="I165" s="781">
        <v>0.6625</v>
      </c>
      <c r="J165" s="780">
        <v>14.0</v>
      </c>
      <c r="K165" s="780">
        <v>1.0</v>
      </c>
      <c r="L165" s="782" t="s">
        <v>200</v>
      </c>
      <c r="M165" s="782" t="s">
        <v>670</v>
      </c>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outlineLevel="1">
      <c r="A177" s="675"/>
      <c r="B177" s="756"/>
      <c r="C177" s="757">
        <f>IF(C165="","",IF(DAY(C165+1)=1,"",C165+1))</f>
        <v>46069</v>
      </c>
      <c r="D177" s="758" t="str">
        <f>TEXT(C177,"ddd")</f>
        <v>月</v>
      </c>
      <c r="E177" s="759"/>
      <c r="F177" s="787" t="s">
        <v>111</v>
      </c>
      <c r="G177" s="788" t="s">
        <v>671</v>
      </c>
      <c r="H177" s="789"/>
      <c r="I177" s="790">
        <v>0.6388888888888888</v>
      </c>
      <c r="J177" s="789">
        <v>6.0</v>
      </c>
      <c r="K177" s="789">
        <v>1.0</v>
      </c>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outlineLevel="1">
      <c r="A188" s="675"/>
      <c r="B188" s="774"/>
      <c r="C188" s="775">
        <f>IF(C177="","",IF(DAY(C177+1)=1,"",C177+1))</f>
        <v>46070</v>
      </c>
      <c r="D188" s="776" t="str">
        <f>TEXT(C188,"ddd")</f>
        <v>火</v>
      </c>
      <c r="E188" s="777"/>
      <c r="F188" s="778" t="s">
        <v>119</v>
      </c>
      <c r="G188" s="779" t="s">
        <v>672</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outlineLevel="1">
      <c r="A199" s="675"/>
      <c r="B199" s="756"/>
      <c r="C199" s="757">
        <f>IF(C188="","",IF(DAY(C188+1)=1,"",C188+1))</f>
        <v>46071</v>
      </c>
      <c r="D199" s="758" t="str">
        <f>TEXT(C199,"ddd")</f>
        <v>水</v>
      </c>
      <c r="E199" s="759"/>
      <c r="F199" s="787" t="s">
        <v>100</v>
      </c>
      <c r="G199" s="788" t="s">
        <v>673</v>
      </c>
      <c r="H199" s="789">
        <v>1.0</v>
      </c>
      <c r="I199" s="790">
        <v>0.6604166666666667</v>
      </c>
      <c r="J199" s="789">
        <v>14.0</v>
      </c>
      <c r="K199" s="789">
        <v>2.0</v>
      </c>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outlineLevel="1">
      <c r="A210" s="675"/>
      <c r="B210" s="774"/>
      <c r="C210" s="775">
        <f>IF(C199="","",IF(DAY(C199+1)=1,"",C199+1))</f>
        <v>46072</v>
      </c>
      <c r="D210" s="776" t="str">
        <f>TEXT(C210,"ddd")</f>
        <v>木</v>
      </c>
      <c r="E210" s="777"/>
      <c r="F210" s="778" t="s">
        <v>147</v>
      </c>
      <c r="G210" s="779" t="s">
        <v>674</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outlineLevel="1">
      <c r="A221" s="675"/>
      <c r="B221" s="756"/>
      <c r="C221" s="757">
        <f>IF(C210="","",IF(DAY(C210+1)=1,"",C210+1))</f>
        <v>46073</v>
      </c>
      <c r="D221" s="758" t="str">
        <f>TEXT(C221,"ddd")</f>
        <v>金</v>
      </c>
      <c r="E221" s="759"/>
      <c r="F221" s="787" t="s">
        <v>100</v>
      </c>
      <c r="G221" s="788" t="s">
        <v>675</v>
      </c>
      <c r="H221" s="789"/>
      <c r="I221" s="790">
        <v>0.6666666666666666</v>
      </c>
      <c r="J221" s="789">
        <v>13.0</v>
      </c>
      <c r="K221" s="789">
        <v>1.0</v>
      </c>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t="60.75" customHeight="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outlineLevel="1">
      <c r="A233" s="675"/>
      <c r="B233" s="774"/>
      <c r="C233" s="775">
        <f>IF(C221="","",IF(DAY(C221+1)=1,"",C221+1))</f>
        <v>46074</v>
      </c>
      <c r="D233" s="776" t="str">
        <f>TEXT(C233,"ddd")</f>
        <v>土</v>
      </c>
      <c r="E233" s="777"/>
      <c r="F233" s="778" t="s">
        <v>100</v>
      </c>
      <c r="G233" s="779" t="s">
        <v>676</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t="117.0" customHeight="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t="21.0" customHeight="1" outlineLevel="1">
      <c r="A244" s="675"/>
      <c r="B244" s="756"/>
      <c r="C244" s="757">
        <f>IF(C233="","",IF(DAY(C233+1)=1,"",C233+1))</f>
        <v>46075</v>
      </c>
      <c r="D244" s="758" t="str">
        <f>TEXT(C244,"ddd")</f>
        <v>日</v>
      </c>
      <c r="E244" s="759"/>
      <c r="F244" s="787" t="s">
        <v>119</v>
      </c>
      <c r="G244" s="788" t="s">
        <v>677</v>
      </c>
      <c r="H244" s="789"/>
      <c r="I244" s="790">
        <v>0.6722222222222223</v>
      </c>
      <c r="J244" s="789">
        <v>14.0</v>
      </c>
      <c r="K244" s="789">
        <v>2.0</v>
      </c>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t="21.0" customHeight="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t="21.0" customHeight="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t="21.0" customHeight="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t="21.0" customHeight="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t="21.0" customHeight="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t="21.0" customHeight="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t="21.0" customHeight="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t="21.0" customHeight="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t="21.0" customHeight="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outlineLevel="1">
      <c r="A255" s="675"/>
      <c r="B255" s="774"/>
      <c r="C255" s="775">
        <f>IF(C244="","",IF(DAY(C244+1)=1,"",C244+1))</f>
        <v>46076</v>
      </c>
      <c r="D255" s="776" t="str">
        <f>TEXT(C255,"ddd")</f>
        <v>月</v>
      </c>
      <c r="E255" s="777"/>
      <c r="F255" s="778" t="s">
        <v>111</v>
      </c>
      <c r="G255" s="779" t="s">
        <v>678</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outlineLevel="1">
      <c r="A266" s="675"/>
      <c r="B266" s="756"/>
      <c r="C266" s="757">
        <f>IF(C255="","",IF(DAY(C255+1)=1,"",C255+1))</f>
        <v>46077</v>
      </c>
      <c r="D266" s="758" t="str">
        <f>TEXT(C266,"ddd")</f>
        <v>火</v>
      </c>
      <c r="E266" s="759"/>
      <c r="F266" s="787" t="s">
        <v>111</v>
      </c>
      <c r="G266" s="788" t="s">
        <v>679</v>
      </c>
      <c r="H266" s="789"/>
      <c r="I266" s="790">
        <v>0.625</v>
      </c>
      <c r="J266" s="789">
        <v>8.0</v>
      </c>
      <c r="K266" s="789">
        <v>1.0</v>
      </c>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outlineLevel="1">
      <c r="A277" s="675"/>
      <c r="B277" s="774"/>
      <c r="C277" s="775">
        <f>IF(C266="","",IF(DAY(C266+1)=1,"",C266+1))</f>
        <v>46078</v>
      </c>
      <c r="D277" s="776" t="str">
        <f>TEXT(C277,"ddd")</f>
        <v>水</v>
      </c>
      <c r="E277" s="777"/>
      <c r="F277" s="778" t="s">
        <v>100</v>
      </c>
      <c r="G277" s="779" t="s">
        <v>680</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t="97.5" customHeight="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outlineLevel="1">
      <c r="A289" s="675"/>
      <c r="B289" s="756"/>
      <c r="C289" s="757">
        <f>IF(C277="","",IF(DAY(C277+1)=1,"",C277+1))</f>
        <v>46079</v>
      </c>
      <c r="D289" s="758" t="str">
        <f>TEXT(C289,"ddd")</f>
        <v>木</v>
      </c>
      <c r="E289" s="759"/>
      <c r="F289" s="787" t="s">
        <v>100</v>
      </c>
      <c r="G289" s="788" t="s">
        <v>681</v>
      </c>
      <c r="H289" s="789"/>
      <c r="I289" s="790">
        <v>0.6597222222222222</v>
      </c>
      <c r="J289" s="789">
        <v>14.0</v>
      </c>
      <c r="K289" s="789">
        <v>1.0</v>
      </c>
      <c r="L289" s="768"/>
      <c r="M289" s="768"/>
      <c r="N289" s="787"/>
      <c r="O289" s="791"/>
      <c r="P289" s="784"/>
      <c r="Q289" s="785"/>
      <c r="R289" s="675"/>
      <c r="S289" s="675"/>
      <c r="T289" s="675"/>
      <c r="U289" s="678"/>
      <c r="V289" s="679"/>
      <c r="W289" s="675"/>
      <c r="X289" s="675"/>
      <c r="Y289" s="675"/>
      <c r="Z289" s="675"/>
    </row>
    <row r="290"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ht="115.5" customHeight="1"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682</v>
      </c>
      <c r="H300" s="780"/>
      <c r="I300" s="926">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t="39.75" customHeight="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outlineLevel="1">
      <c r="A311" s="675"/>
      <c r="B311" s="756"/>
      <c r="C311" s="757">
        <f>IF(C300="","",IF(DAY(C300+1)=1,"",C300+1))</f>
        <v>46081</v>
      </c>
      <c r="D311" s="758" t="str">
        <f>TEXT(C311,"ddd")</f>
        <v>土</v>
      </c>
      <c r="E311" s="759"/>
      <c r="F311" s="787" t="s">
        <v>100</v>
      </c>
      <c r="G311" s="788" t="s">
        <v>683</v>
      </c>
      <c r="H311" s="789"/>
      <c r="I311" s="790">
        <v>0.6819444444444445</v>
      </c>
      <c r="J311" s="789">
        <v>13.0</v>
      </c>
      <c r="K311" s="789">
        <v>1.0</v>
      </c>
      <c r="L311" s="768"/>
      <c r="M311" s="768"/>
      <c r="N311" s="787"/>
      <c r="O311" s="791"/>
      <c r="P311" s="784"/>
      <c r="Q311" s="785"/>
      <c r="R311" s="675"/>
      <c r="S311" s="675"/>
      <c r="T311" s="675"/>
      <c r="U311" s="678"/>
      <c r="V311" s="679"/>
      <c r="W311" s="675"/>
      <c r="X311" s="675"/>
      <c r="Y311" s="675"/>
      <c r="Z311" s="675"/>
    </row>
    <row r="312"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outlineLevel="1">
      <c r="A333" s="675"/>
      <c r="B333" s="756"/>
      <c r="C333" s="757" t="str">
        <f>IF(C322="","",IF(DAY(C322+1)=1,"",C322+1))</f>
        <v/>
      </c>
      <c r="D333" s="758" t="str">
        <f>TEXT(C333,"ddd")</f>
        <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52</v>
      </c>
      <c r="C5" s="820" t="s">
        <v>84</v>
      </c>
      <c r="D5" s="821" t="s">
        <v>100</v>
      </c>
      <c r="E5" s="822" t="b">
        <v>1</v>
      </c>
      <c r="F5" s="820" t="s">
        <v>538</v>
      </c>
      <c r="G5" s="823" t="s">
        <v>229</v>
      </c>
      <c r="H5" s="824" t="b">
        <v>1</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"),"①R8_2集計")</f>
        <v>①R8_2集計</v>
      </c>
      <c r="F8" s="533"/>
      <c r="G8" s="211"/>
      <c r="H8" s="211"/>
      <c r="I8" s="188"/>
      <c r="J8" s="825"/>
      <c r="K8" s="810"/>
      <c r="L8" s="935" t="s">
        <v>684</v>
      </c>
      <c r="M8" s="235"/>
      <c r="N8" s="235"/>
      <c r="O8" s="235"/>
      <c r="P8" s="235"/>
      <c r="Q8" s="235"/>
      <c r="R8" s="235"/>
      <c r="S8" s="238"/>
      <c r="U8" s="935" t="s">
        <v>685</v>
      </c>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0.2825827569</v>
      </c>
      <c r="D10" s="844">
        <f t="array" ref="D10">INDIRECT($E$8 &amp; "!E8")</f>
        <v>0.5819738276</v>
      </c>
      <c r="E10" s="844">
        <f t="array" ref="E10">INDIRECT($E$8 &amp; "!G8")</f>
        <v>0.7971141582</v>
      </c>
      <c r="F10" s="845">
        <f t="array" ref="F10">INDIRECT($E$8 &amp; "!H8")</f>
        <v>11211550</v>
      </c>
      <c r="G10" s="845">
        <f t="array" ref="G10">INDIRECT($E$8 &amp; "!K8")</f>
        <v>141999</v>
      </c>
      <c r="H10" s="845">
        <f t="array" ref="H10">INDIRECT($E$8 &amp; "!M8")</f>
        <v>3168190.708</v>
      </c>
      <c r="I10" s="844">
        <f t="array" ref="I10">INDIRECT($E$8 &amp; "!AT7")</f>
        <v>0.000853970965</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0.2719620281</v>
      </c>
      <c r="D11" s="848"/>
      <c r="E11" s="849"/>
      <c r="F11" s="850">
        <f t="array" ref="F11">INDIRECT($E$8 &amp; "!H7")</f>
        <v>10990334</v>
      </c>
      <c r="G11" s="848"/>
      <c r="H11" s="851">
        <f t="array" ref="H11">INDIRECT($E$8 &amp; "!M7")</f>
        <v>2988953.524</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936" t="s">
        <v>686</v>
      </c>
      <c r="F13" s="188"/>
      <c r="G13" s="188"/>
      <c r="H13" s="858" t="s">
        <v>35</v>
      </c>
      <c r="I13" s="927">
        <f t="array" ref="I13">xlookup($B$5,'🔵クレーム'!$C$10:$C$21,'🔵クレーム'!X$10:X$21)</f>
        <v>0.000853970965</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1</v>
      </c>
      <c r="C15" s="862">
        <f t="array" ref="C15">xlookup($B$5,'🔵クレーム'!$C$10:$C$21,'🔵クレーム'!E$10:E$21)</f>
        <v>0</v>
      </c>
      <c r="D15" s="862">
        <f t="array" ref="D15">xlookup($B$5,'🔵クレーム'!$C$10:$C$21,'🔵クレーム'!F$10:F$21)</f>
        <v>0</v>
      </c>
      <c r="E15" s="862">
        <f t="array" ref="E15">xlookup($B$5,'🔵クレーム'!$C$10:$C$21,'🔵クレーム'!G$10:G$21)</f>
        <v>1</v>
      </c>
      <c r="F15" s="862">
        <f t="array" ref="F15">xlookup($B$5,'🔵クレーム'!$C$10:$C$21,'🔵クレーム'!H$10:H$21)</f>
        <v>3</v>
      </c>
      <c r="G15" s="862">
        <f t="array" ref="G15">xlookup($B$5,'🔵クレーム'!$C$10:$C$21,'🔵クレーム'!I$10:I$21)</f>
        <v>3</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9</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t="s">
        <v>687</v>
      </c>
      <c r="M22" s="235"/>
      <c r="N22" s="235"/>
      <c r="O22" s="235"/>
      <c r="P22" s="235"/>
      <c r="Q22" s="235"/>
      <c r="R22" s="235"/>
      <c r="S22" s="238"/>
      <c r="U22" s="935" t="s">
        <v>688</v>
      </c>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935" t="s">
        <v>689</v>
      </c>
      <c r="M36" s="235"/>
      <c r="N36" s="235"/>
      <c r="O36" s="235"/>
      <c r="P36" s="235"/>
      <c r="Q36" s="235"/>
      <c r="R36" s="235"/>
      <c r="S36" s="238"/>
      <c r="U36" s="935" t="s">
        <v>690</v>
      </c>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10</v>
      </c>
      <c r="E37" s="890" t="s">
        <v>563</v>
      </c>
      <c r="F37" s="891"/>
      <c r="G37" s="889">
        <f>D37 - COUNTIF(E39:E48,"採用")</f>
        <v>8</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937">
        <v>46060.0</v>
      </c>
      <c r="C39" s="897" t="s">
        <v>691</v>
      </c>
      <c r="D39" s="894"/>
      <c r="E39" s="898" t="s">
        <v>692</v>
      </c>
      <c r="F39" s="894"/>
      <c r="G39" s="931" t="s">
        <v>693</v>
      </c>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937">
        <v>46060.0</v>
      </c>
      <c r="C40" s="897" t="s">
        <v>694</v>
      </c>
      <c r="D40" s="894"/>
      <c r="E40" s="898" t="s">
        <v>695</v>
      </c>
      <c r="F40" s="894"/>
      <c r="G40" s="931" t="s">
        <v>696</v>
      </c>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937">
        <v>46058.0</v>
      </c>
      <c r="C41" s="897" t="s">
        <v>697</v>
      </c>
      <c r="D41" s="894"/>
      <c r="E41" s="898" t="s">
        <v>698</v>
      </c>
      <c r="F41" s="894"/>
      <c r="G41" s="931" t="s">
        <v>699</v>
      </c>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937">
        <v>46057.0</v>
      </c>
      <c r="C42" s="897" t="s">
        <v>700</v>
      </c>
      <c r="D42" s="894"/>
      <c r="E42" s="898" t="s">
        <v>698</v>
      </c>
      <c r="F42" s="894"/>
      <c r="G42" s="931" t="s">
        <v>699</v>
      </c>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937">
        <v>46057.0</v>
      </c>
      <c r="C43" s="897" t="s">
        <v>701</v>
      </c>
      <c r="D43" s="894"/>
      <c r="E43" s="898" t="s">
        <v>698</v>
      </c>
      <c r="F43" s="894"/>
      <c r="G43" s="931" t="s">
        <v>699</v>
      </c>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937">
        <v>46063.0</v>
      </c>
      <c r="C44" s="897" t="s">
        <v>702</v>
      </c>
      <c r="D44" s="894"/>
      <c r="E44" s="898" t="s">
        <v>695</v>
      </c>
      <c r="F44" s="894"/>
      <c r="G44" s="931" t="s">
        <v>703</v>
      </c>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937">
        <v>46068.0</v>
      </c>
      <c r="C45" s="897" t="s">
        <v>501</v>
      </c>
      <c r="D45" s="894"/>
      <c r="E45" s="898" t="s">
        <v>704</v>
      </c>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937">
        <v>46075.0</v>
      </c>
      <c r="C46" s="897" t="s">
        <v>705</v>
      </c>
      <c r="D46" s="894"/>
      <c r="E46" s="898" t="s">
        <v>692</v>
      </c>
      <c r="F46" s="894"/>
      <c r="G46" s="931" t="s">
        <v>693</v>
      </c>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937">
        <v>46076.0</v>
      </c>
      <c r="C47" s="897" t="s">
        <v>706</v>
      </c>
      <c r="D47" s="894"/>
      <c r="E47" s="898" t="s">
        <v>695</v>
      </c>
      <c r="F47" s="894"/>
      <c r="G47" s="931" t="s">
        <v>696</v>
      </c>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937">
        <v>46078.0</v>
      </c>
      <c r="C48" s="897" t="s">
        <v>707</v>
      </c>
      <c r="D48" s="894"/>
      <c r="E48" s="898" t="s">
        <v>704</v>
      </c>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935" t="s">
        <v>708</v>
      </c>
      <c r="M50" s="235"/>
      <c r="N50" s="235"/>
      <c r="O50" s="235"/>
      <c r="P50" s="235"/>
      <c r="Q50" s="235"/>
      <c r="R50" s="235"/>
      <c r="S50" s="238"/>
      <c r="U50" s="935" t="s">
        <v>709</v>
      </c>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3</v>
      </c>
      <c r="E64" s="871"/>
      <c r="F64" s="871"/>
      <c r="G64" s="871"/>
      <c r="H64" s="871"/>
      <c r="I64" s="871"/>
      <c r="J64" s="811"/>
      <c r="K64" s="810"/>
      <c r="L64" s="838" t="s">
        <v>710</v>
      </c>
      <c r="M64" s="235"/>
      <c r="N64" s="235"/>
      <c r="O64" s="235"/>
      <c r="P64" s="235"/>
      <c r="Q64" s="235"/>
      <c r="R64" s="235"/>
      <c r="S64" s="238"/>
      <c r="U64" s="838" t="s">
        <v>711</v>
      </c>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929">
        <v>57.0</v>
      </c>
      <c r="C66" s="897" t="s">
        <v>102</v>
      </c>
      <c r="D66" s="894"/>
      <c r="E66" s="930">
        <v>46081.0</v>
      </c>
      <c r="F66" s="931" t="s">
        <v>712</v>
      </c>
      <c r="G66" s="894"/>
      <c r="H66" s="916" t="s">
        <v>89</v>
      </c>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929">
        <v>55.0</v>
      </c>
      <c r="C67" s="897" t="s">
        <v>639</v>
      </c>
      <c r="D67" s="894"/>
      <c r="E67" s="930">
        <v>46081.0</v>
      </c>
      <c r="F67" s="931" t="s">
        <v>712</v>
      </c>
      <c r="G67" s="894"/>
      <c r="H67" s="916" t="s">
        <v>89</v>
      </c>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929">
        <v>776.0</v>
      </c>
      <c r="C68" s="897" t="s">
        <v>640</v>
      </c>
      <c r="D68" s="894"/>
      <c r="E68" s="930">
        <v>46067.0</v>
      </c>
      <c r="F68" s="931" t="s">
        <v>606</v>
      </c>
      <c r="G68" s="894"/>
      <c r="H68" s="916" t="s">
        <v>90</v>
      </c>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935" t="s">
        <v>713</v>
      </c>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t="s">
        <v>714</v>
      </c>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715</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716</v>
      </c>
      <c r="K4" s="188"/>
      <c r="L4" s="188"/>
      <c r="M4" s="188"/>
      <c r="N4" s="188"/>
      <c r="O4" s="188"/>
      <c r="P4" s="188"/>
      <c r="Q4" s="188"/>
      <c r="R4" s="188"/>
      <c r="S4" s="188"/>
      <c r="T4" s="188"/>
      <c r="U4" s="188"/>
      <c r="V4" s="188"/>
      <c r="W4" s="188"/>
      <c r="X4" s="188"/>
      <c r="Y4" s="188"/>
      <c r="Z4" s="188"/>
      <c r="AA4" s="188"/>
      <c r="AB4" s="188"/>
      <c r="AC4" s="188"/>
    </row>
    <row r="5">
      <c r="A5" s="188"/>
      <c r="B5" s="941" t="s">
        <v>717</v>
      </c>
      <c r="C5" s="941" t="s">
        <v>718</v>
      </c>
      <c r="D5" s="941" t="s">
        <v>96</v>
      </c>
      <c r="E5" s="941" t="s">
        <v>541</v>
      </c>
      <c r="F5" s="941" t="s">
        <v>719</v>
      </c>
      <c r="G5" s="942" t="s">
        <v>720</v>
      </c>
      <c r="H5" s="941" t="s">
        <v>721</v>
      </c>
      <c r="I5" s="941" t="s">
        <v>722</v>
      </c>
      <c r="J5" s="941" t="s">
        <v>723</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724</v>
      </c>
      <c r="F6" s="945"/>
      <c r="G6" s="946" t="s">
        <v>725</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547</v>
      </c>
      <c r="F7" s="947"/>
      <c r="G7" s="946" t="s">
        <v>726</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727</v>
      </c>
      <c r="F8" s="948"/>
      <c r="G8" s="946" t="s">
        <v>728</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729</v>
      </c>
      <c r="F12" s="951"/>
      <c r="G12" s="946" t="s">
        <v>730</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731</v>
      </c>
      <c r="H16" s="168" t="s">
        <v>732</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733</v>
      </c>
      <c r="F17" s="952"/>
      <c r="G17" s="946" t="s">
        <v>731</v>
      </c>
      <c r="H17" s="168" t="s">
        <v>734</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735</v>
      </c>
      <c r="F18" s="952"/>
      <c r="G18" s="946" t="s">
        <v>731</v>
      </c>
      <c r="H18" s="168" t="s">
        <v>736</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737</v>
      </c>
      <c r="F19" s="952"/>
      <c r="G19" s="946" t="s">
        <v>731</v>
      </c>
      <c r="H19" s="168" t="s">
        <v>738</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739</v>
      </c>
      <c r="H23" s="168" t="s">
        <v>732</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734</v>
      </c>
      <c r="F24" s="953"/>
      <c r="G24" s="946" t="s">
        <v>739</v>
      </c>
      <c r="H24" s="168" t="s">
        <v>740</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741</v>
      </c>
      <c r="F25" s="953"/>
      <c r="G25" s="946" t="s">
        <v>739</v>
      </c>
      <c r="H25" s="168" t="s">
        <v>736</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742</v>
      </c>
      <c r="F26" s="953"/>
      <c r="G26" s="946" t="s">
        <v>739</v>
      </c>
      <c r="H26" s="168" t="s">
        <v>738</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731</v>
      </c>
      <c r="H30" s="168" t="s">
        <v>732</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740</v>
      </c>
      <c r="F31" s="952"/>
      <c r="G31" s="946" t="s">
        <v>731</v>
      </c>
      <c r="H31" s="168" t="s">
        <v>743</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744</v>
      </c>
      <c r="F32" s="952"/>
      <c r="G32" s="946" t="s">
        <v>731</v>
      </c>
      <c r="H32" s="168" t="s">
        <v>736</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745</v>
      </c>
      <c r="F33" s="952"/>
      <c r="G33" s="946" t="s">
        <v>731</v>
      </c>
      <c r="H33" s="168" t="s">
        <v>738</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739</v>
      </c>
      <c r="H37" s="168" t="s">
        <v>732</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743</v>
      </c>
      <c r="F38" s="953"/>
      <c r="G38" s="946" t="s">
        <v>739</v>
      </c>
      <c r="H38" s="168" t="s">
        <v>746</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747</v>
      </c>
      <c r="F39" s="953"/>
      <c r="G39" s="946" t="s">
        <v>739</v>
      </c>
      <c r="H39" s="168" t="s">
        <v>736</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748</v>
      </c>
      <c r="F40" s="953"/>
      <c r="G40" s="946" t="s">
        <v>739</v>
      </c>
      <c r="H40" s="168" t="s">
        <v>738</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731</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746</v>
      </c>
      <c r="F45" s="952"/>
      <c r="G45" s="946" t="s">
        <v>731</v>
      </c>
      <c r="H45" s="168" t="s">
        <v>749</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750</v>
      </c>
      <c r="F46" s="952"/>
      <c r="G46" s="946" t="s">
        <v>731</v>
      </c>
      <c r="H46" s="168" t="s">
        <v>736</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751</v>
      </c>
      <c r="F47" s="952"/>
      <c r="G47" s="946" t="s">
        <v>731</v>
      </c>
      <c r="H47" s="168" t="s">
        <v>738</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739</v>
      </c>
      <c r="H51" s="168" t="s">
        <v>732</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749</v>
      </c>
      <c r="F52" s="953"/>
      <c r="G52" s="946" t="s">
        <v>739</v>
      </c>
      <c r="H52" s="168" t="s">
        <v>752</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753</v>
      </c>
      <c r="F53" s="953"/>
      <c r="G53" s="946" t="s">
        <v>739</v>
      </c>
      <c r="H53" s="168" t="s">
        <v>736</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754</v>
      </c>
      <c r="F54" s="953"/>
      <c r="G54" s="946" t="s">
        <v>739</v>
      </c>
      <c r="H54" s="168" t="s">
        <v>738</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731</v>
      </c>
      <c r="H58" s="168" t="s">
        <v>732</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752</v>
      </c>
      <c r="F59" s="952"/>
      <c r="G59" s="946" t="s">
        <v>731</v>
      </c>
      <c r="H59" s="168" t="s">
        <v>755</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756</v>
      </c>
      <c r="F60" s="952"/>
      <c r="G60" s="946" t="s">
        <v>731</v>
      </c>
      <c r="H60" s="168" t="s">
        <v>736</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757</v>
      </c>
      <c r="F61" s="952"/>
      <c r="G61" s="946" t="s">
        <v>731</v>
      </c>
      <c r="H61" s="168" t="s">
        <v>738</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739</v>
      </c>
      <c r="H65" s="168" t="s">
        <v>732</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755</v>
      </c>
      <c r="F66" s="953"/>
      <c r="G66" s="946" t="s">
        <v>739</v>
      </c>
      <c r="H66" s="168" t="s">
        <v>758</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759</v>
      </c>
      <c r="F67" s="953"/>
      <c r="G67" s="946" t="s">
        <v>739</v>
      </c>
      <c r="H67" s="168" t="s">
        <v>736</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760</v>
      </c>
      <c r="F68" s="953"/>
      <c r="G68" s="946" t="s">
        <v>739</v>
      </c>
      <c r="H68" s="168" t="s">
        <v>738</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731</v>
      </c>
      <c r="H72" s="168" t="s">
        <v>732</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758</v>
      </c>
      <c r="F73" s="952"/>
      <c r="G73" s="946" t="s">
        <v>731</v>
      </c>
      <c r="H73" s="168" t="s">
        <v>761</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762</v>
      </c>
      <c r="F74" s="952"/>
      <c r="G74" s="946" t="s">
        <v>731</v>
      </c>
      <c r="H74" s="168" t="s">
        <v>736</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763</v>
      </c>
      <c r="F75" s="952"/>
      <c r="G75" s="946" t="s">
        <v>731</v>
      </c>
      <c r="H75" s="168" t="s">
        <v>738</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55</v>
      </c>
      <c r="E79" s="944" t="s">
        <v>56</v>
      </c>
      <c r="F79" s="953"/>
      <c r="G79" s="946" t="s">
        <v>739</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55</v>
      </c>
      <c r="E80" s="954" t="s">
        <v>761</v>
      </c>
      <c r="F80" s="953"/>
      <c r="G80" s="946" t="s">
        <v>739</v>
      </c>
      <c r="H80" s="168" t="s">
        <v>764</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55</v>
      </c>
      <c r="E81" s="944" t="s">
        <v>765</v>
      </c>
      <c r="F81" s="953"/>
      <c r="G81" s="946" t="s">
        <v>739</v>
      </c>
      <c r="H81" s="168" t="s">
        <v>736</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55</v>
      </c>
      <c r="E82" s="944" t="s">
        <v>766</v>
      </c>
      <c r="F82" s="953"/>
      <c r="G82" s="946" t="s">
        <v>739</v>
      </c>
      <c r="H82" s="168" t="s">
        <v>738</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34</v>
      </c>
      <c r="E86" s="944" t="s">
        <v>54</v>
      </c>
      <c r="F86" s="952"/>
      <c r="G86" s="946" t="s">
        <v>731</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34</v>
      </c>
      <c r="E87" s="944" t="s">
        <v>764</v>
      </c>
      <c r="F87" s="952"/>
      <c r="G87" s="946" t="s">
        <v>731</v>
      </c>
      <c r="H87" s="168" t="s">
        <v>767</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34</v>
      </c>
      <c r="E88" s="944" t="s">
        <v>768</v>
      </c>
      <c r="F88" s="952"/>
      <c r="G88" s="946" t="s">
        <v>731</v>
      </c>
      <c r="H88" s="168" t="s">
        <v>736</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34</v>
      </c>
      <c r="E89" s="944" t="s">
        <v>769</v>
      </c>
      <c r="F89" s="952"/>
      <c r="G89" s="946" t="s">
        <v>731</v>
      </c>
      <c r="H89" s="168" t="s">
        <v>738</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739</v>
      </c>
      <c r="H93" s="168" t="s">
        <v>732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767</v>
      </c>
      <c r="F94" s="953"/>
      <c r="G94" s="946" t="s">
        <v>739</v>
      </c>
      <c r="H94" s="168" t="s">
        <v>770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771</v>
      </c>
      <c r="F95" s="953"/>
      <c r="G95" s="946" t="s">
        <v>739</v>
      </c>
      <c r="H95" s="168" t="s">
        <v>736</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772</v>
      </c>
      <c r="F96" s="953"/>
      <c r="G96" s="946" t="s">
        <v>739</v>
      </c>
      <c r="H96" s="168" t="s">
        <v>738</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773</v>
      </c>
      <c r="F102" s="956"/>
      <c r="G102" s="946" t="s">
        <v>774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502</v>
      </c>
      <c r="F103" s="957"/>
      <c r="G103" s="946" t="s">
        <v>775</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776</v>
      </c>
      <c r="F104" s="958"/>
      <c r="G104" s="946" t="s">
        <v>777</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778</v>
      </c>
      <c r="F105" s="959"/>
      <c r="G105" s="946" t="s">
        <v>779</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732</v>
      </c>
      <c r="F106" s="960"/>
      <c r="G106" s="946" t="s">
        <v>780</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770</v>
      </c>
      <c r="F107" s="960"/>
      <c r="G107" s="946" t="s">
        <v>780</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736</v>
      </c>
      <c r="F108" s="960"/>
      <c r="G108" s="946" t="s">
        <v>780</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738</v>
      </c>
      <c r="F109" s="960"/>
      <c r="G109" s="946" t="s">
        <v>780</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504</v>
      </c>
      <c r="F443" s="962"/>
      <c r="G443" s="946" t="s">
        <v>781</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782</v>
      </c>
      <c r="B1" s="3"/>
      <c r="C1" s="3"/>
      <c r="D1" s="3"/>
      <c r="E1" s="3"/>
      <c r="F1" s="3"/>
      <c r="G1" s="3"/>
      <c r="H1" s="965"/>
      <c r="I1" s="966" t="s">
        <v>783</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783</v>
      </c>
      <c r="B2" s="975" t="s">
        <v>51</v>
      </c>
      <c r="C2" s="976" t="s">
        <v>317</v>
      </c>
      <c r="D2" s="974" t="s">
        <v>318</v>
      </c>
      <c r="E2" s="974" t="s">
        <v>323</v>
      </c>
      <c r="F2" s="974" t="s">
        <v>315</v>
      </c>
      <c r="G2" s="977" t="s">
        <v>784</v>
      </c>
      <c r="H2" s="978"/>
      <c r="I2" s="979" t="s">
        <v>785</v>
      </c>
      <c r="J2" s="980">
        <f>DAY(EOMONTH(J1,0))</f>
        <v>28</v>
      </c>
      <c r="K2" s="981" t="s">
        <v>786</v>
      </c>
      <c r="L2" s="981" t="s">
        <v>317</v>
      </c>
      <c r="M2" s="981" t="s">
        <v>295</v>
      </c>
      <c r="N2" s="981" t="s">
        <v>296</v>
      </c>
      <c r="O2" s="981" t="s">
        <v>787</v>
      </c>
      <c r="P2" s="981" t="s">
        <v>788</v>
      </c>
      <c r="Q2" s="979" t="s">
        <v>789</v>
      </c>
      <c r="R2" s="982">
        <v>970.0</v>
      </c>
      <c r="S2" s="983" t="s">
        <v>451</v>
      </c>
      <c r="T2" s="973"/>
      <c r="U2" s="984" t="s">
        <v>785</v>
      </c>
      <c r="V2" s="985" t="s">
        <v>790</v>
      </c>
      <c r="W2" s="985" t="s">
        <v>791</v>
      </c>
      <c r="X2" s="985" t="s">
        <v>792</v>
      </c>
      <c r="Y2" s="973"/>
      <c r="Z2" s="986" t="s">
        <v>793</v>
      </c>
      <c r="AA2" s="986" t="s">
        <v>794</v>
      </c>
      <c r="AB2" s="986" t="s">
        <v>391</v>
      </c>
      <c r="AC2" s="986" t="s">
        <v>795</v>
      </c>
      <c r="AD2" s="986" t="s">
        <v>793</v>
      </c>
      <c r="AE2" s="986" t="s">
        <v>794</v>
      </c>
      <c r="AF2" s="986" t="s">
        <v>391</v>
      </c>
      <c r="AG2" s="986" t="s">
        <v>795</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317</v>
      </c>
      <c r="J3" s="980">
        <f t="array" ref="J3">xlookup(K1,$B$3:$B$14,$C$3:$C$14)*100</f>
        <v>77.5</v>
      </c>
      <c r="K3" s="992">
        <f>SUM(M3:O3)</f>
        <v>448</v>
      </c>
      <c r="L3" s="992">
        <v>100.0</v>
      </c>
      <c r="M3" s="982">
        <v>369.0</v>
      </c>
      <c r="N3" s="982">
        <v>79.0</v>
      </c>
      <c r="O3" s="993"/>
      <c r="P3" s="992">
        <f>K3*J2</f>
        <v>12544</v>
      </c>
      <c r="Q3" s="994" t="s">
        <v>796</v>
      </c>
      <c r="R3" s="995">
        <f>P15</f>
        <v>1560382</v>
      </c>
      <c r="S3" s="969">
        <v>435.0</v>
      </c>
      <c r="T3" s="973"/>
      <c r="U3" s="984" t="s">
        <v>318</v>
      </c>
      <c r="V3" s="996">
        <v>1.2511734E7</v>
      </c>
      <c r="W3" s="996">
        <v>1.2133983E7</v>
      </c>
      <c r="X3" s="996">
        <v>1.1378483E7</v>
      </c>
      <c r="Y3" s="973"/>
      <c r="Z3" s="997" t="s">
        <v>295</v>
      </c>
      <c r="AA3" s="998" t="s">
        <v>797</v>
      </c>
      <c r="AB3" s="999">
        <v>450.0</v>
      </c>
      <c r="AC3" s="1000">
        <v>21.95</v>
      </c>
      <c r="AD3" s="997" t="s">
        <v>798</v>
      </c>
      <c r="AE3" s="998" t="s">
        <v>799</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800</v>
      </c>
      <c r="J4" s="982">
        <v>640000.0</v>
      </c>
      <c r="K4" s="992">
        <f>K3*J3%</f>
        <v>347.2</v>
      </c>
      <c r="L4" s="1002">
        <f>(K4-J20)/K3*100</f>
        <v>53.475</v>
      </c>
      <c r="M4" s="992">
        <f>M3*L4%</f>
        <v>197.32275</v>
      </c>
      <c r="N4" s="992">
        <f>N3*L4%</f>
        <v>42.24525</v>
      </c>
      <c r="O4" s="992">
        <f>O3*L4%</f>
        <v>0</v>
      </c>
      <c r="P4" s="992">
        <f>K4*J2</f>
        <v>9721.6</v>
      </c>
      <c r="Q4" s="979" t="s">
        <v>318</v>
      </c>
      <c r="R4" s="995">
        <f>R2*P4+R3</f>
        <v>10990334</v>
      </c>
      <c r="S4" s="965"/>
      <c r="T4" s="973"/>
      <c r="U4" s="984" t="s">
        <v>784</v>
      </c>
      <c r="V4" s="1003">
        <v>0.6101</v>
      </c>
      <c r="W4" s="1003">
        <v>0.6068</v>
      </c>
      <c r="X4" s="1003">
        <v>0.5959</v>
      </c>
      <c r="Y4" s="973"/>
      <c r="Z4" s="997" t="s">
        <v>296</v>
      </c>
      <c r="AA4" s="998" t="s">
        <v>801</v>
      </c>
      <c r="AB4" s="999">
        <v>500.0</v>
      </c>
      <c r="AC4" s="1000">
        <v>24.39</v>
      </c>
      <c r="AD4" s="997" t="s">
        <v>802</v>
      </c>
      <c r="AE4" s="998" t="s">
        <v>803</v>
      </c>
      <c r="AF4" s="999">
        <v>450.0</v>
      </c>
      <c r="AG4" s="1000">
        <v>21.95</v>
      </c>
    </row>
    <row r="5">
      <c r="A5" s="1001">
        <f t="shared" si="7"/>
        <v>46113</v>
      </c>
      <c r="B5" s="988" t="str">
        <f t="shared" si="1"/>
        <v>①R8_4集計</v>
      </c>
      <c r="C5" s="989" t="str">
        <f t="shared" si="2"/>
        <v/>
      </c>
      <c r="D5" s="990">
        <f t="shared" si="3"/>
        <v>1614590</v>
      </c>
      <c r="E5" s="990">
        <f t="shared" si="4"/>
        <v>-746506</v>
      </c>
      <c r="F5" s="991">
        <f t="shared" si="5"/>
        <v>-0.4623501942</v>
      </c>
      <c r="G5" s="991">
        <f t="shared" si="6"/>
        <v>0.5847280114</v>
      </c>
      <c r="H5" s="978"/>
      <c r="I5" s="979" t="s">
        <v>804</v>
      </c>
      <c r="J5" s="1004">
        <v>540000.0</v>
      </c>
      <c r="K5" s="1005" t="s">
        <v>805</v>
      </c>
      <c r="L5" s="5"/>
      <c r="M5" s="1006">
        <f t="shared" ref="M5:O5" si="8">M1/20.5</f>
        <v>20.34146341</v>
      </c>
      <c r="N5" s="1006">
        <f t="shared" si="8"/>
        <v>23.12195122</v>
      </c>
      <c r="O5" s="1006">
        <f t="shared" si="8"/>
        <v>26.87804878</v>
      </c>
      <c r="P5" s="1007"/>
      <c r="Q5" s="979" t="s">
        <v>806</v>
      </c>
      <c r="R5" s="992">
        <f>M10+SUM(M14:N15)+R13</f>
        <v>6584380.476</v>
      </c>
      <c r="S5" s="965"/>
      <c r="T5" s="973"/>
      <c r="U5" s="984" t="s">
        <v>807</v>
      </c>
      <c r="V5" s="996">
        <v>3460819.0</v>
      </c>
      <c r="W5" s="996">
        <v>3353964.0</v>
      </c>
      <c r="X5" s="996">
        <v>3140254.0</v>
      </c>
      <c r="Y5" s="973"/>
      <c r="Z5" s="997" t="s">
        <v>787</v>
      </c>
      <c r="AA5" s="998">
        <v>3.0</v>
      </c>
      <c r="AB5" s="999">
        <v>600.0</v>
      </c>
      <c r="AC5" s="1000">
        <v>29.27</v>
      </c>
      <c r="AD5" s="997" t="s">
        <v>808</v>
      </c>
      <c r="AE5" s="998" t="s">
        <v>809</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810</v>
      </c>
      <c r="J6" s="1010">
        <v>1300.0</v>
      </c>
      <c r="K6" s="1011" t="s">
        <v>811</v>
      </c>
      <c r="L6" s="5"/>
      <c r="M6" s="992">
        <f t="shared" ref="M6:O6" si="9">M4/(360/M5)</f>
        <v>11.1495375</v>
      </c>
      <c r="N6" s="992">
        <f t="shared" si="9"/>
        <v>2.713312805</v>
      </c>
      <c r="O6" s="992">
        <f t="shared" si="9"/>
        <v>0</v>
      </c>
      <c r="P6" s="992">
        <f t="shared" ref="P6:P7" si="10">M6+N6+O6</f>
        <v>13.8628503</v>
      </c>
      <c r="Q6" s="979" t="s">
        <v>316</v>
      </c>
      <c r="R6" s="1012">
        <f>R5/R4</f>
        <v>0.5991064944</v>
      </c>
      <c r="S6" s="1013"/>
      <c r="T6" s="973"/>
      <c r="U6" s="984" t="s">
        <v>315</v>
      </c>
      <c r="V6" s="1003">
        <v>0.2766</v>
      </c>
      <c r="W6" s="1003">
        <v>0.2764</v>
      </c>
      <c r="X6" s="1003">
        <v>0.276</v>
      </c>
      <c r="Y6" s="973"/>
      <c r="Z6" s="997" t="s">
        <v>812</v>
      </c>
      <c r="AA6" s="998" t="s">
        <v>813</v>
      </c>
      <c r="AB6" s="999">
        <v>600.0</v>
      </c>
      <c r="AC6" s="1000">
        <v>29.27</v>
      </c>
      <c r="AD6" s="997" t="s">
        <v>814</v>
      </c>
      <c r="AE6" s="998" t="s">
        <v>815</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816</v>
      </c>
      <c r="J7" s="1010">
        <v>6.0</v>
      </c>
      <c r="K7" s="1016" t="s">
        <v>817</v>
      </c>
      <c r="L7" s="982">
        <v>1230.0</v>
      </c>
      <c r="M7" s="992">
        <f>M6*(L7*6)</f>
        <v>82283.58675</v>
      </c>
      <c r="N7" s="992">
        <f>N6*(L7*6)</f>
        <v>20024.2485</v>
      </c>
      <c r="O7" s="992">
        <f>O6*(L7*6)</f>
        <v>0</v>
      </c>
      <c r="P7" s="992">
        <f t="shared" si="10"/>
        <v>102307.8353</v>
      </c>
      <c r="Q7" s="979" t="s">
        <v>807</v>
      </c>
      <c r="R7" s="995">
        <f>R4-R5-M17</f>
        <v>2988953.524</v>
      </c>
      <c r="S7" s="965"/>
      <c r="T7" s="973"/>
      <c r="U7" s="973"/>
      <c r="V7" s="973"/>
      <c r="W7" s="973"/>
      <c r="X7" s="973"/>
      <c r="Y7" s="973"/>
      <c r="Z7" s="997" t="s">
        <v>818</v>
      </c>
      <c r="AA7" s="998" t="s">
        <v>819</v>
      </c>
      <c r="AB7" s="999">
        <v>900.0</v>
      </c>
      <c r="AC7" s="1000">
        <v>43.9</v>
      </c>
      <c r="AD7" s="997" t="s">
        <v>820</v>
      </c>
      <c r="AE7" s="998" t="s">
        <v>821</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822</v>
      </c>
      <c r="J8" s="993"/>
      <c r="K8" s="1018"/>
      <c r="L8" s="1007"/>
      <c r="M8" s="1007"/>
      <c r="N8" s="1007"/>
      <c r="O8" s="1007"/>
      <c r="P8" s="1007"/>
      <c r="Q8" s="979" t="s">
        <v>315</v>
      </c>
      <c r="R8" s="1012">
        <f>R7/R4</f>
        <v>0.2719620281</v>
      </c>
      <c r="S8" s="969">
        <v>29.94</v>
      </c>
      <c r="T8" s="973"/>
      <c r="U8" s="973"/>
      <c r="V8" s="973"/>
      <c r="W8" s="973"/>
      <c r="X8" s="973"/>
      <c r="Y8" s="973"/>
      <c r="Z8" s="997" t="s">
        <v>823</v>
      </c>
      <c r="AA8" s="998" t="s">
        <v>824</v>
      </c>
      <c r="AB8" s="999">
        <v>350.0</v>
      </c>
      <c r="AC8" s="1000">
        <v>17.07</v>
      </c>
      <c r="AD8" s="997" t="s">
        <v>825</v>
      </c>
      <c r="AE8" s="998" t="s">
        <v>826</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827</v>
      </c>
      <c r="J9" s="1010">
        <v>1320.0</v>
      </c>
      <c r="K9" s="1011" t="s">
        <v>828</v>
      </c>
      <c r="L9" s="5"/>
      <c r="M9" s="992">
        <f>P7+(P6*J15)</f>
        <v>116170.6856</v>
      </c>
      <c r="N9" s="1007"/>
      <c r="O9" s="1019" t="s">
        <v>829</v>
      </c>
      <c r="P9" s="994" t="s">
        <v>830</v>
      </c>
      <c r="Q9" s="1020" t="s">
        <v>831</v>
      </c>
      <c r="R9" s="5"/>
      <c r="S9" s="965"/>
      <c r="T9" s="973"/>
      <c r="U9" s="973"/>
      <c r="V9" s="973"/>
      <c r="W9" s="973"/>
      <c r="X9" s="973"/>
      <c r="Y9" s="973"/>
      <c r="Z9" s="997" t="s">
        <v>832</v>
      </c>
      <c r="AA9" s="998" t="s">
        <v>833</v>
      </c>
      <c r="AB9" s="999">
        <v>400.0</v>
      </c>
      <c r="AC9" s="1000">
        <v>19.51</v>
      </c>
      <c r="AD9" s="997" t="s">
        <v>834</v>
      </c>
      <c r="AE9" s="998" t="s">
        <v>835</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836</v>
      </c>
      <c r="J10" s="1010">
        <v>6.0</v>
      </c>
      <c r="K10" s="1011" t="s">
        <v>837</v>
      </c>
      <c r="L10" s="5"/>
      <c r="M10" s="992">
        <f>M9*J2+K3*K18*J2*75</f>
        <v>3313931.196</v>
      </c>
      <c r="N10" s="1023"/>
      <c r="O10" s="1024" t="s">
        <v>395</v>
      </c>
      <c r="P10" s="1025">
        <v>436670.0</v>
      </c>
      <c r="Q10" s="979" t="s">
        <v>838</v>
      </c>
      <c r="R10" s="1002">
        <f>J2*J20*830</f>
        <v>2501367.68</v>
      </c>
      <c r="S10" s="965"/>
      <c r="T10" s="973"/>
      <c r="U10" s="973"/>
      <c r="V10" s="973"/>
      <c r="W10" s="973"/>
      <c r="X10" s="973"/>
      <c r="Y10" s="973"/>
      <c r="Z10" s="997" t="s">
        <v>839</v>
      </c>
      <c r="AA10" s="998" t="s">
        <v>840</v>
      </c>
      <c r="AB10" s="999">
        <v>400.0</v>
      </c>
      <c r="AC10" s="1000">
        <v>19.51</v>
      </c>
      <c r="AD10" s="997" t="s">
        <v>841</v>
      </c>
      <c r="AE10" s="998" t="s">
        <v>841</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842</v>
      </c>
      <c r="J11" s="1010">
        <f>J2</f>
        <v>28</v>
      </c>
      <c r="K11" s="1011" t="s">
        <v>843</v>
      </c>
      <c r="L11" s="5"/>
      <c r="M11" s="979" t="s">
        <v>406</v>
      </c>
      <c r="N11" s="1017" t="s">
        <v>379</v>
      </c>
      <c r="O11" s="981" t="s">
        <v>844</v>
      </c>
      <c r="P11" s="1027">
        <v>364800.0</v>
      </c>
      <c r="Q11" s="994" t="s">
        <v>299</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845</v>
      </c>
      <c r="J12" s="993"/>
      <c r="K12" s="1011" t="s">
        <v>846</v>
      </c>
      <c r="L12" s="5"/>
      <c r="M12" s="1002">
        <f t="shared" ref="M12:M13" si="11">J4*1.15</f>
        <v>736000</v>
      </c>
      <c r="N12" s="1032">
        <v>30000.0</v>
      </c>
      <c r="O12" s="1024" t="s">
        <v>299</v>
      </c>
      <c r="P12" s="1033">
        <f>K3*J17*J2*100</f>
        <v>188160</v>
      </c>
      <c r="Q12" s="979" t="s">
        <v>350</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847</v>
      </c>
      <c r="J13" s="993"/>
      <c r="K13" s="1011" t="s">
        <v>848</v>
      </c>
      <c r="L13" s="5"/>
      <c r="M13" s="1002">
        <f t="shared" si="11"/>
        <v>621000</v>
      </c>
      <c r="N13" s="1002">
        <v>30000.0</v>
      </c>
      <c r="O13" s="1024" t="s">
        <v>350</v>
      </c>
      <c r="P13" s="1033">
        <f>K3*J18*J2*200</f>
        <v>401408</v>
      </c>
      <c r="Q13" s="979" t="s">
        <v>303</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849</v>
      </c>
      <c r="J14" s="993"/>
      <c r="K14" s="1034" t="s">
        <v>850</v>
      </c>
      <c r="L14" s="5"/>
      <c r="M14" s="1002">
        <f>(J2*4.5-21.7*4)*J6*J7</f>
        <v>305760</v>
      </c>
      <c r="N14" s="1002">
        <f>(J2*4.5-21.7*4)*J15</f>
        <v>39200</v>
      </c>
      <c r="O14" s="1035" t="s">
        <v>851</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852</v>
      </c>
      <c r="J15" s="1037">
        <v>1000.0</v>
      </c>
      <c r="K15" s="1005" t="s">
        <v>853</v>
      </c>
      <c r="L15" s="5"/>
      <c r="M15" s="1002">
        <f>J9*J10*J11</f>
        <v>221760</v>
      </c>
      <c r="N15" s="1002">
        <f>J2*J15</f>
        <v>28000</v>
      </c>
      <c r="O15" s="979" t="s">
        <v>303</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851</v>
      </c>
      <c r="J16" s="1012">
        <v>0.135</v>
      </c>
      <c r="K16" s="1005" t="s">
        <v>854</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299</v>
      </c>
      <c r="J17" s="1012">
        <v>0.15</v>
      </c>
      <c r="K17" s="1005" t="s">
        <v>855</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350</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856</v>
      </c>
      <c r="J19" s="1041">
        <v>0.31</v>
      </c>
      <c r="K19" s="965"/>
      <c r="L19" s="965"/>
      <c r="M19" s="965"/>
      <c r="N19" s="965"/>
      <c r="O19" s="965"/>
      <c r="P19" s="965"/>
      <c r="Q19" s="965"/>
      <c r="R19" s="965"/>
      <c r="S19" s="965"/>
      <c r="T19" s="973"/>
      <c r="U19" s="1040">
        <v>1896.0</v>
      </c>
      <c r="V19" s="973"/>
      <c r="W19" s="973"/>
      <c r="X19" s="973"/>
      <c r="Y19" s="973"/>
    </row>
    <row r="20">
      <c r="A20" s="1042" t="s">
        <v>857</v>
      </c>
      <c r="B20" s="1008"/>
      <c r="C20" s="1008"/>
      <c r="D20" s="1008"/>
      <c r="E20" s="1008"/>
      <c r="F20" s="1008"/>
      <c r="G20" s="1008"/>
      <c r="H20" s="1008"/>
      <c r="I20" s="989" t="s">
        <v>858</v>
      </c>
      <c r="J20" s="1043">
        <f>K4*J19</f>
        <v>107.632</v>
      </c>
      <c r="K20" s="965"/>
      <c r="L20" s="965"/>
      <c r="M20" s="965"/>
      <c r="N20" s="965"/>
      <c r="O20" s="965"/>
      <c r="P20" s="965"/>
      <c r="Q20" s="965"/>
      <c r="R20" s="965"/>
      <c r="S20" s="965"/>
      <c r="T20" s="973"/>
      <c r="U20" s="973"/>
      <c r="V20" s="973"/>
      <c r="W20" s="973"/>
      <c r="X20" s="973"/>
      <c r="Y20" s="973"/>
    </row>
    <row r="21">
      <c r="A21" s="1044" t="s">
        <v>859</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860</v>
      </c>
      <c r="B22" s="973"/>
      <c r="C22" s="973"/>
      <c r="D22" s="973"/>
      <c r="E22" s="973"/>
      <c r="F22" s="973"/>
      <c r="G22" s="973"/>
      <c r="H22" s="973"/>
      <c r="I22" s="966" t="s">
        <v>783</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861</v>
      </c>
      <c r="B23" s="973"/>
      <c r="C23" s="973"/>
      <c r="D23" s="973"/>
      <c r="E23" s="973"/>
      <c r="F23" s="973"/>
      <c r="G23" s="973"/>
      <c r="H23" s="973"/>
      <c r="I23" s="979" t="s">
        <v>785</v>
      </c>
      <c r="J23" s="980">
        <f>DAY(EOMONTH(J22,0))</f>
        <v>31</v>
      </c>
      <c r="K23" s="981" t="s">
        <v>786</v>
      </c>
      <c r="L23" s="981" t="s">
        <v>317</v>
      </c>
      <c r="M23" s="981" t="s">
        <v>295</v>
      </c>
      <c r="N23" s="981" t="s">
        <v>296</v>
      </c>
      <c r="O23" s="981" t="s">
        <v>787</v>
      </c>
      <c r="P23" s="981" t="s">
        <v>788</v>
      </c>
      <c r="Q23" s="979" t="s">
        <v>789</v>
      </c>
      <c r="R23" s="982">
        <v>970.0</v>
      </c>
      <c r="S23" s="983" t="s">
        <v>451</v>
      </c>
      <c r="T23" s="973"/>
      <c r="U23" s="973"/>
      <c r="V23" s="973"/>
      <c r="W23" s="973"/>
      <c r="X23" s="973"/>
      <c r="Y23" s="973"/>
    </row>
    <row r="24">
      <c r="A24" s="1046" t="s">
        <v>862</v>
      </c>
      <c r="B24" s="973"/>
      <c r="C24" s="973"/>
      <c r="D24" s="973"/>
      <c r="E24" s="973"/>
      <c r="F24" s="973"/>
      <c r="G24" s="973"/>
      <c r="H24" s="973"/>
      <c r="I24" s="979" t="s">
        <v>317</v>
      </c>
      <c r="J24" s="980">
        <f t="array" ref="J24">xlookup(K22,$B$3:$B$14,$C$3:$C$14)*100</f>
        <v>85</v>
      </c>
      <c r="K24" s="992">
        <f>SUM(M24:O24)</f>
        <v>448</v>
      </c>
      <c r="L24" s="992">
        <v>100.0</v>
      </c>
      <c r="M24" s="982">
        <v>369.0</v>
      </c>
      <c r="N24" s="982">
        <v>79.0</v>
      </c>
      <c r="O24" s="993"/>
      <c r="P24" s="992">
        <f>K24*J23</f>
        <v>13888</v>
      </c>
      <c r="Q24" s="994" t="s">
        <v>796</v>
      </c>
      <c r="R24" s="995">
        <f>P36</f>
        <v>1641694</v>
      </c>
      <c r="S24" s="969">
        <v>435.0</v>
      </c>
      <c r="T24" s="973"/>
      <c r="U24" s="973"/>
      <c r="V24" s="973"/>
      <c r="W24" s="973"/>
      <c r="X24" s="973"/>
      <c r="Y24" s="973"/>
      <c r="Z24" s="973"/>
      <c r="AA24" s="973"/>
      <c r="AB24" s="973"/>
      <c r="AC24" s="973"/>
      <c r="AD24" s="973"/>
      <c r="AE24" s="973"/>
      <c r="AF24" s="973"/>
      <c r="AG24" s="973"/>
    </row>
    <row r="25">
      <c r="A25" s="2" t="s">
        <v>863</v>
      </c>
      <c r="I25" s="979" t="s">
        <v>800</v>
      </c>
      <c r="J25" s="982">
        <v>640000.0</v>
      </c>
      <c r="K25" s="992">
        <f>K24*J24%</f>
        <v>380.8</v>
      </c>
      <c r="L25" s="1002">
        <f>(K25-J41)/K24*100</f>
        <v>58.65</v>
      </c>
      <c r="M25" s="992">
        <f>M24*L25%</f>
        <v>216.4185</v>
      </c>
      <c r="N25" s="992">
        <f>N24*L25%</f>
        <v>46.3335</v>
      </c>
      <c r="O25" s="992">
        <f>O24*L25%</f>
        <v>0</v>
      </c>
      <c r="P25" s="992">
        <f>K25*J23</f>
        <v>11804.8</v>
      </c>
      <c r="Q25" s="979" t="s">
        <v>318</v>
      </c>
      <c r="R25" s="995">
        <f>R23*P25+R24</f>
        <v>13092350</v>
      </c>
      <c r="S25" s="965"/>
    </row>
    <row r="26">
      <c r="A26" s="2" t="s">
        <v>864</v>
      </c>
      <c r="I26" s="979" t="s">
        <v>804</v>
      </c>
      <c r="J26" s="1004">
        <f>270000*3</f>
        <v>810000</v>
      </c>
      <c r="K26" s="1005" t="s">
        <v>805</v>
      </c>
      <c r="L26" s="5"/>
      <c r="M26" s="1006">
        <f t="shared" ref="M26:O26" si="12">M22/20.5</f>
        <v>20.34146341</v>
      </c>
      <c r="N26" s="1006">
        <f t="shared" si="12"/>
        <v>23.12195122</v>
      </c>
      <c r="O26" s="1006">
        <f t="shared" si="12"/>
        <v>26.87804878</v>
      </c>
      <c r="P26" s="1007"/>
      <c r="Q26" s="979" t="s">
        <v>806</v>
      </c>
      <c r="R26" s="992">
        <f>M31+SUM(M35:N36)+R34</f>
        <v>7797245.549</v>
      </c>
      <c r="S26" s="965"/>
    </row>
    <row r="27">
      <c r="A27" s="2" t="s">
        <v>865</v>
      </c>
      <c r="I27" s="1009" t="s">
        <v>810</v>
      </c>
      <c r="J27" s="1010">
        <v>1300.0</v>
      </c>
      <c r="K27" s="1011" t="s">
        <v>811</v>
      </c>
      <c r="L27" s="5"/>
      <c r="M27" s="992">
        <f t="shared" ref="M27:O27" si="13">M25/(360/M26)</f>
        <v>12.228525</v>
      </c>
      <c r="N27" s="992">
        <f t="shared" si="13"/>
        <v>2.975891463</v>
      </c>
      <c r="O27" s="992">
        <f t="shared" si="13"/>
        <v>0</v>
      </c>
      <c r="P27" s="992">
        <f t="shared" ref="P27:P28" si="14">M27+N27+O27</f>
        <v>15.20441646</v>
      </c>
      <c r="Q27" s="979" t="s">
        <v>316</v>
      </c>
      <c r="R27" s="1012">
        <f>R26/R25</f>
        <v>0.5955573712</v>
      </c>
      <c r="S27" s="1013"/>
    </row>
    <row r="28">
      <c r="I28" s="1015" t="s">
        <v>816</v>
      </c>
      <c r="J28" s="1010">
        <v>6.0</v>
      </c>
      <c r="K28" s="1016" t="s">
        <v>817</v>
      </c>
      <c r="L28" s="982">
        <v>1230.0</v>
      </c>
      <c r="M28" s="992">
        <f>M27*(L28*6)</f>
        <v>90246.5145</v>
      </c>
      <c r="N28" s="992">
        <f>N27*(L28*6)</f>
        <v>21962.079</v>
      </c>
      <c r="O28" s="992">
        <f>O27*(L28*6)</f>
        <v>0</v>
      </c>
      <c r="P28" s="992">
        <f t="shared" si="14"/>
        <v>112208.5935</v>
      </c>
      <c r="Q28" s="979" t="s">
        <v>807</v>
      </c>
      <c r="R28" s="995">
        <f>R25-R26-M38</f>
        <v>3552604.451</v>
      </c>
      <c r="S28" s="965"/>
    </row>
    <row r="29">
      <c r="A29" s="2" t="s">
        <v>866</v>
      </c>
      <c r="I29" s="1017" t="s">
        <v>822</v>
      </c>
      <c r="J29" s="993"/>
      <c r="K29" s="1018"/>
      <c r="L29" s="1007"/>
      <c r="M29" s="1007"/>
      <c r="N29" s="1007"/>
      <c r="O29" s="1007"/>
      <c r="P29" s="1007"/>
      <c r="Q29" s="979" t="s">
        <v>315</v>
      </c>
      <c r="R29" s="1012">
        <f>R28/R25</f>
        <v>0.2713496394</v>
      </c>
      <c r="S29" s="1048">
        <v>26.92</v>
      </c>
    </row>
    <row r="30">
      <c r="I30" s="1009" t="s">
        <v>827</v>
      </c>
      <c r="J30" s="1010">
        <v>1320.0</v>
      </c>
      <c r="K30" s="1011" t="s">
        <v>828</v>
      </c>
      <c r="L30" s="5"/>
      <c r="M30" s="992">
        <f>P28+(P27*J36)</f>
        <v>127413.01</v>
      </c>
      <c r="N30" s="1007"/>
      <c r="O30" s="1019" t="s">
        <v>829</v>
      </c>
      <c r="P30" s="994" t="s">
        <v>830</v>
      </c>
      <c r="Q30" s="1020" t="s">
        <v>831</v>
      </c>
      <c r="R30" s="5"/>
      <c r="S30" s="965"/>
    </row>
    <row r="31">
      <c r="I31" s="1022" t="s">
        <v>836</v>
      </c>
      <c r="J31" s="1010">
        <v>6.0</v>
      </c>
      <c r="K31" s="1011" t="s">
        <v>837</v>
      </c>
      <c r="L31" s="5"/>
      <c r="M31" s="992">
        <f>M30*J23+K24*K39*J23*75</f>
        <v>4017507.309</v>
      </c>
      <c r="N31" s="1023"/>
      <c r="O31" s="1024" t="s">
        <v>395</v>
      </c>
      <c r="P31" s="1025">
        <v>436670.0</v>
      </c>
      <c r="Q31" s="979" t="s">
        <v>838</v>
      </c>
      <c r="R31" s="1002">
        <f>J23*J41*830</f>
        <v>3037375.04</v>
      </c>
      <c r="S31" s="965"/>
    </row>
    <row r="32">
      <c r="I32" s="1022" t="s">
        <v>842</v>
      </c>
      <c r="J32" s="1010">
        <f>J23</f>
        <v>31</v>
      </c>
      <c r="K32" s="1011" t="s">
        <v>843</v>
      </c>
      <c r="L32" s="5"/>
      <c r="M32" s="979" t="s">
        <v>406</v>
      </c>
      <c r="N32" s="1017" t="s">
        <v>379</v>
      </c>
      <c r="O32" s="981" t="s">
        <v>844</v>
      </c>
      <c r="P32" s="1027">
        <v>364800.0</v>
      </c>
      <c r="Q32" s="994" t="s">
        <v>299</v>
      </c>
      <c r="R32" s="1002">
        <f>J23*(K24*0.4%)*100</f>
        <v>5555.2</v>
      </c>
      <c r="S32" s="965"/>
    </row>
    <row r="33">
      <c r="I33" s="1009" t="s">
        <v>845</v>
      </c>
      <c r="J33" s="993"/>
      <c r="K33" s="1011" t="s">
        <v>846</v>
      </c>
      <c r="L33" s="5"/>
      <c r="M33" s="1002">
        <f t="shared" ref="M33:M34" si="15">J25*1.15</f>
        <v>736000</v>
      </c>
      <c r="N33" s="1032">
        <v>30000.0</v>
      </c>
      <c r="O33" s="1024" t="s">
        <v>299</v>
      </c>
      <c r="P33" s="1033">
        <f>K24*J38*J23*100</f>
        <v>208320</v>
      </c>
      <c r="Q33" s="979" t="s">
        <v>350</v>
      </c>
      <c r="R33" s="1002">
        <f>J23*(K24*9%)*150</f>
        <v>187488</v>
      </c>
      <c r="S33" s="965"/>
    </row>
    <row r="34">
      <c r="I34" s="1009" t="s">
        <v>847</v>
      </c>
      <c r="J34" s="993"/>
      <c r="K34" s="1011" t="s">
        <v>848</v>
      </c>
      <c r="L34" s="5"/>
      <c r="M34" s="1002">
        <f t="shared" si="15"/>
        <v>931500</v>
      </c>
      <c r="N34" s="1049">
        <v>45000.0</v>
      </c>
      <c r="O34" s="1024" t="s">
        <v>350</v>
      </c>
      <c r="P34" s="1033">
        <f>K24*J39*J23*200</f>
        <v>444416</v>
      </c>
      <c r="Q34" s="979" t="s">
        <v>303</v>
      </c>
      <c r="R34" s="992">
        <f>R31+R32+R33</f>
        <v>3230418.24</v>
      </c>
      <c r="S34" s="965"/>
    </row>
    <row r="35">
      <c r="I35" s="1009" t="s">
        <v>849</v>
      </c>
      <c r="J35" s="993"/>
      <c r="K35" s="1034" t="s">
        <v>850</v>
      </c>
      <c r="L35" s="5"/>
      <c r="M35" s="1002">
        <f>(J23*4.5-21.7*5)*J27*J28</f>
        <v>241800</v>
      </c>
      <c r="N35" s="1002">
        <f>(J23*4.5-21.7*5)*J36</f>
        <v>31000</v>
      </c>
      <c r="O35" s="1035" t="s">
        <v>851</v>
      </c>
      <c r="P35" s="1033">
        <f>K24*J37*J23*100</f>
        <v>187488</v>
      </c>
      <c r="Q35" s="1007"/>
      <c r="R35" s="1036"/>
      <c r="S35" s="965"/>
    </row>
    <row r="36">
      <c r="I36" s="989" t="s">
        <v>852</v>
      </c>
      <c r="J36" s="1037">
        <v>1000.0</v>
      </c>
      <c r="K36" s="1005" t="s">
        <v>853</v>
      </c>
      <c r="L36" s="5"/>
      <c r="M36" s="1002">
        <f>J30*J31*J32</f>
        <v>245520</v>
      </c>
      <c r="N36" s="1002">
        <f>J23*J36</f>
        <v>31000</v>
      </c>
      <c r="O36" s="979" t="s">
        <v>303</v>
      </c>
      <c r="P36" s="995">
        <f>SUM(P31:P35)</f>
        <v>1641694</v>
      </c>
      <c r="Q36" s="1007"/>
      <c r="R36" s="1007"/>
      <c r="S36" s="965"/>
    </row>
    <row r="37">
      <c r="I37" s="979" t="s">
        <v>851</v>
      </c>
      <c r="J37" s="1012">
        <v>0.135</v>
      </c>
      <c r="K37" s="1005" t="s">
        <v>854</v>
      </c>
      <c r="L37" s="5"/>
      <c r="M37" s="1002">
        <f>J33*J34*J35</f>
        <v>0</v>
      </c>
      <c r="N37" s="1002">
        <f>J35*J36</f>
        <v>0</v>
      </c>
      <c r="O37" s="1007"/>
      <c r="P37" s="1007"/>
      <c r="Q37" s="1007"/>
      <c r="R37" s="1036"/>
      <c r="S37" s="965"/>
    </row>
    <row r="38">
      <c r="I38" s="989" t="s">
        <v>299</v>
      </c>
      <c r="J38" s="1012">
        <v>0.15</v>
      </c>
      <c r="K38" s="1005" t="s">
        <v>855</v>
      </c>
      <c r="L38" s="5"/>
      <c r="M38" s="1002">
        <f>SUM(M33:N34)</f>
        <v>1742500</v>
      </c>
      <c r="N38" s="1038"/>
      <c r="O38" s="1007"/>
      <c r="P38" s="1007"/>
      <c r="Q38" s="1007"/>
      <c r="R38" s="1007"/>
      <c r="S38" s="965"/>
    </row>
    <row r="39">
      <c r="I39" s="989" t="s">
        <v>350</v>
      </c>
      <c r="J39" s="1039">
        <v>0.16</v>
      </c>
      <c r="K39" s="1012">
        <v>0.065</v>
      </c>
      <c r="L39" s="965"/>
      <c r="M39" s="965"/>
      <c r="N39" s="965"/>
      <c r="O39" s="965"/>
      <c r="P39" s="965"/>
      <c r="Q39" s="965"/>
      <c r="R39" s="965"/>
      <c r="S39" s="965"/>
    </row>
    <row r="40">
      <c r="I40" s="989" t="s">
        <v>856</v>
      </c>
      <c r="J40" s="1041">
        <v>0.31</v>
      </c>
      <c r="K40" s="965"/>
      <c r="L40" s="965"/>
      <c r="M40" s="965"/>
      <c r="N40" s="965"/>
      <c r="O40" s="965"/>
      <c r="P40" s="965"/>
      <c r="Q40" s="965"/>
      <c r="R40" s="965"/>
      <c r="S40" s="965"/>
    </row>
    <row r="41">
      <c r="I41" s="989" t="s">
        <v>858</v>
      </c>
      <c r="J41" s="1043">
        <f>K25*J40</f>
        <v>118.048</v>
      </c>
      <c r="K41" s="965"/>
      <c r="L41" s="965"/>
      <c r="M41" s="965"/>
      <c r="N41" s="965"/>
      <c r="O41" s="965"/>
      <c r="P41" s="965"/>
      <c r="Q41" s="965"/>
      <c r="R41" s="965"/>
      <c r="S41" s="965"/>
    </row>
    <row r="43">
      <c r="I43" s="966" t="s">
        <v>783</v>
      </c>
      <c r="J43" s="1050">
        <f>A5</f>
        <v>46113</v>
      </c>
      <c r="K43" s="968" t="str">
        <f>"①R"&amp;year(J43)-2018&amp;"_"&amp;month(J43)&amp;"集計"</f>
        <v>①R8_4集計</v>
      </c>
      <c r="L43" s="965"/>
      <c r="M43" s="969">
        <v>417.0</v>
      </c>
      <c r="N43" s="969">
        <v>474.0</v>
      </c>
      <c r="O43" s="969">
        <v>551.0</v>
      </c>
      <c r="P43" s="965"/>
      <c r="Q43" s="970">
        <f>R46</f>
        <v>1614590</v>
      </c>
      <c r="R43" s="970">
        <f>R49</f>
        <v>-746506</v>
      </c>
      <c r="S43" s="971">
        <f>R50</f>
        <v>-0.4623501942</v>
      </c>
      <c r="T43" s="274">
        <f>R48</f>
        <v>0.5847280114</v>
      </c>
    </row>
    <row r="44">
      <c r="I44" s="979" t="s">
        <v>785</v>
      </c>
      <c r="J44" s="980">
        <f>DAY(EOMONTH(J43,0))</f>
        <v>30</v>
      </c>
      <c r="K44" s="981" t="s">
        <v>786</v>
      </c>
      <c r="L44" s="981" t="s">
        <v>317</v>
      </c>
      <c r="M44" s="981" t="s">
        <v>295</v>
      </c>
      <c r="N44" s="981" t="s">
        <v>296</v>
      </c>
      <c r="O44" s="981" t="s">
        <v>787</v>
      </c>
      <c r="P44" s="981" t="s">
        <v>788</v>
      </c>
      <c r="Q44" s="979" t="s">
        <v>789</v>
      </c>
      <c r="R44" s="982">
        <v>970.0</v>
      </c>
      <c r="S44" s="983" t="s">
        <v>451</v>
      </c>
    </row>
    <row r="45">
      <c r="I45" s="979" t="s">
        <v>317</v>
      </c>
      <c r="J45" s="980">
        <f t="array" ref="J45">xlookup(K43,$B$3:$B$14,$C$3:$C$14)*100</f>
        <v>0</v>
      </c>
      <c r="K45" s="992">
        <f>SUM(M45:O45)</f>
        <v>448</v>
      </c>
      <c r="L45" s="992">
        <v>100.0</v>
      </c>
      <c r="M45" s="982">
        <v>369.0</v>
      </c>
      <c r="N45" s="982">
        <v>79.0</v>
      </c>
      <c r="O45" s="993"/>
      <c r="P45" s="992">
        <f>K45*J44</f>
        <v>13440</v>
      </c>
      <c r="Q45" s="994" t="s">
        <v>796</v>
      </c>
      <c r="R45" s="995">
        <f>P57</f>
        <v>1614590</v>
      </c>
      <c r="S45" s="969">
        <v>435.0</v>
      </c>
    </row>
    <row r="46">
      <c r="I46" s="979" t="s">
        <v>800</v>
      </c>
      <c r="J46" s="982">
        <v>640000.0</v>
      </c>
      <c r="K46" s="992">
        <f>K45*J45%</f>
        <v>0</v>
      </c>
      <c r="L46" s="1002">
        <f>(K46-J62)/K45*100</f>
        <v>0</v>
      </c>
      <c r="M46" s="992">
        <f>M45*L46%</f>
        <v>0</v>
      </c>
      <c r="N46" s="992">
        <f>N45*L46%</f>
        <v>0</v>
      </c>
      <c r="O46" s="992">
        <f>O45*L46%</f>
        <v>0</v>
      </c>
      <c r="P46" s="992">
        <f>K46*J44</f>
        <v>0</v>
      </c>
      <c r="Q46" s="979" t="s">
        <v>318</v>
      </c>
      <c r="R46" s="995">
        <f>R44*P46+R45</f>
        <v>1614590</v>
      </c>
      <c r="S46" s="965"/>
    </row>
    <row r="47">
      <c r="I47" s="979" t="s">
        <v>804</v>
      </c>
      <c r="J47" s="1004">
        <v>540000.0</v>
      </c>
      <c r="K47" s="1005" t="s">
        <v>805</v>
      </c>
      <c r="L47" s="5"/>
      <c r="M47" s="1006">
        <f t="shared" ref="M47:O47" si="16">M43/20.5</f>
        <v>20.34146341</v>
      </c>
      <c r="N47" s="1006">
        <f t="shared" si="16"/>
        <v>23.12195122</v>
      </c>
      <c r="O47" s="1006">
        <f t="shared" si="16"/>
        <v>26.87804878</v>
      </c>
      <c r="P47" s="1007"/>
      <c r="Q47" s="979" t="s">
        <v>806</v>
      </c>
      <c r="R47" s="992">
        <f>M52+SUM(M56:N57)+R55</f>
        <v>944096</v>
      </c>
      <c r="S47" s="965"/>
    </row>
    <row r="48">
      <c r="I48" s="1009" t="s">
        <v>810</v>
      </c>
      <c r="J48" s="1010">
        <v>1300.0</v>
      </c>
      <c r="K48" s="1011" t="s">
        <v>811</v>
      </c>
      <c r="L48" s="5"/>
      <c r="M48" s="992">
        <f t="shared" ref="M48:O48" si="17">M46/(360/M47)</f>
        <v>0</v>
      </c>
      <c r="N48" s="992">
        <f t="shared" si="17"/>
        <v>0</v>
      </c>
      <c r="O48" s="992">
        <f t="shared" si="17"/>
        <v>0</v>
      </c>
      <c r="P48" s="992">
        <f t="shared" ref="P48:P49" si="18">M48+N48+O48</f>
        <v>0</v>
      </c>
      <c r="Q48" s="979" t="s">
        <v>316</v>
      </c>
      <c r="R48" s="1012">
        <f>R47/R46</f>
        <v>0.5847280114</v>
      </c>
      <c r="S48" s="1013"/>
    </row>
    <row r="49">
      <c r="I49" s="1015" t="s">
        <v>816</v>
      </c>
      <c r="J49" s="1010">
        <v>6.0</v>
      </c>
      <c r="K49" s="1016" t="s">
        <v>817</v>
      </c>
      <c r="L49" s="982">
        <v>1230.0</v>
      </c>
      <c r="M49" s="992">
        <f>M48*(L49*6)</f>
        <v>0</v>
      </c>
      <c r="N49" s="992">
        <f>N48*(L49*6)</f>
        <v>0</v>
      </c>
      <c r="O49" s="992">
        <f>O48*(L49*6)</f>
        <v>0</v>
      </c>
      <c r="P49" s="992">
        <f t="shared" si="18"/>
        <v>0</v>
      </c>
      <c r="Q49" s="979" t="s">
        <v>807</v>
      </c>
      <c r="R49" s="995">
        <f>R46-R47-M59</f>
        <v>-746506</v>
      </c>
      <c r="S49" s="965"/>
    </row>
    <row r="50">
      <c r="I50" s="1017" t="s">
        <v>822</v>
      </c>
      <c r="J50" s="993"/>
      <c r="K50" s="1018"/>
      <c r="L50" s="1007"/>
      <c r="M50" s="1007"/>
      <c r="N50" s="1007"/>
      <c r="O50" s="1007"/>
      <c r="P50" s="1007"/>
      <c r="Q50" s="979" t="s">
        <v>315</v>
      </c>
      <c r="R50" s="1012">
        <f>R49/R46</f>
        <v>-0.4623501942</v>
      </c>
      <c r="S50" s="969">
        <v>29.94</v>
      </c>
    </row>
    <row r="51">
      <c r="I51" s="1009" t="s">
        <v>827</v>
      </c>
      <c r="J51" s="1010">
        <v>1320.0</v>
      </c>
      <c r="K51" s="1011" t="s">
        <v>828</v>
      </c>
      <c r="L51" s="5"/>
      <c r="M51" s="992">
        <f>P49+(P48*J57)</f>
        <v>0</v>
      </c>
      <c r="N51" s="1007"/>
      <c r="O51" s="1019" t="s">
        <v>829</v>
      </c>
      <c r="P51" s="994" t="s">
        <v>830</v>
      </c>
      <c r="Q51" s="1020" t="s">
        <v>831</v>
      </c>
      <c r="R51" s="5"/>
      <c r="S51" s="965"/>
    </row>
    <row r="52">
      <c r="I52" s="1022" t="s">
        <v>836</v>
      </c>
      <c r="J52" s="1010">
        <v>6.0</v>
      </c>
      <c r="K52" s="1011" t="s">
        <v>837</v>
      </c>
      <c r="L52" s="5"/>
      <c r="M52" s="992">
        <f>M51*J44+K45*K60*J44*75</f>
        <v>65520</v>
      </c>
      <c r="N52" s="1023"/>
      <c r="O52" s="1024" t="s">
        <v>395</v>
      </c>
      <c r="P52" s="1025">
        <v>436670.0</v>
      </c>
      <c r="Q52" s="979" t="s">
        <v>838</v>
      </c>
      <c r="R52" s="1002">
        <f>J44*J62*830</f>
        <v>0</v>
      </c>
      <c r="S52" s="965"/>
    </row>
    <row r="53">
      <c r="I53" s="1022" t="s">
        <v>842</v>
      </c>
      <c r="J53" s="1010">
        <f>J44</f>
        <v>30</v>
      </c>
      <c r="K53" s="1011" t="s">
        <v>843</v>
      </c>
      <c r="L53" s="5"/>
      <c r="M53" s="979" t="s">
        <v>406</v>
      </c>
      <c r="N53" s="1017" t="s">
        <v>379</v>
      </c>
      <c r="O53" s="981" t="s">
        <v>844</v>
      </c>
      <c r="P53" s="1027">
        <v>364800.0</v>
      </c>
      <c r="Q53" s="994" t="s">
        <v>299</v>
      </c>
      <c r="R53" s="1002">
        <f>J44*(K45*0.4%)*100</f>
        <v>5376</v>
      </c>
      <c r="S53" s="965"/>
    </row>
    <row r="54">
      <c r="I54" s="1009" t="s">
        <v>845</v>
      </c>
      <c r="J54" s="993"/>
      <c r="K54" s="1011" t="s">
        <v>846</v>
      </c>
      <c r="L54" s="5"/>
      <c r="M54" s="1002">
        <f t="shared" ref="M54:M55" si="19">J46*1.15</f>
        <v>736000</v>
      </c>
      <c r="N54" s="1032">
        <v>30000.0</v>
      </c>
      <c r="O54" s="1024" t="s">
        <v>299</v>
      </c>
      <c r="P54" s="1033">
        <f>K45*J59*J44*100</f>
        <v>201600</v>
      </c>
      <c r="Q54" s="979" t="s">
        <v>350</v>
      </c>
      <c r="R54" s="1002">
        <f>J44*(K45*9%)*150</f>
        <v>181440</v>
      </c>
      <c r="S54" s="965"/>
    </row>
    <row r="55">
      <c r="I55" s="1009" t="s">
        <v>847</v>
      </c>
      <c r="J55" s="993"/>
      <c r="K55" s="1011" t="s">
        <v>848</v>
      </c>
      <c r="L55" s="5"/>
      <c r="M55" s="1002">
        <f t="shared" si="19"/>
        <v>621000</v>
      </c>
      <c r="N55" s="1002">
        <v>30000.0</v>
      </c>
      <c r="O55" s="1024" t="s">
        <v>350</v>
      </c>
      <c r="P55" s="1033">
        <f>K45*J60*J44*200</f>
        <v>430080</v>
      </c>
      <c r="Q55" s="979" t="s">
        <v>303</v>
      </c>
      <c r="R55" s="992">
        <f>R52+R53+R54</f>
        <v>186816</v>
      </c>
      <c r="S55" s="965"/>
    </row>
    <row r="56">
      <c r="I56" s="1009" t="s">
        <v>849</v>
      </c>
      <c r="J56" s="993"/>
      <c r="K56" s="1034" t="s">
        <v>850</v>
      </c>
      <c r="L56" s="5"/>
      <c r="M56" s="1002">
        <f>(J44*4.5-21.7*4)*J48*J49</f>
        <v>375960</v>
      </c>
      <c r="N56" s="1002">
        <f>(J44*4.5-21.7*4)*J57</f>
        <v>48200</v>
      </c>
      <c r="O56" s="1035" t="s">
        <v>851</v>
      </c>
      <c r="P56" s="1033">
        <f>K45*J58*J44*100</f>
        <v>181440</v>
      </c>
      <c r="Q56" s="1007"/>
      <c r="R56" s="1036"/>
      <c r="S56" s="965"/>
    </row>
    <row r="57">
      <c r="I57" s="989" t="s">
        <v>852</v>
      </c>
      <c r="J57" s="1037">
        <v>1000.0</v>
      </c>
      <c r="K57" s="1005" t="s">
        <v>853</v>
      </c>
      <c r="L57" s="5"/>
      <c r="M57" s="1002">
        <f>J51*J52*J53</f>
        <v>237600</v>
      </c>
      <c r="N57" s="1002">
        <f>J44*J57</f>
        <v>30000</v>
      </c>
      <c r="O57" s="979" t="s">
        <v>303</v>
      </c>
      <c r="P57" s="995">
        <f>SUM(P52:P56)</f>
        <v>1614590</v>
      </c>
      <c r="Q57" s="1007"/>
      <c r="R57" s="1007"/>
      <c r="S57" s="965"/>
    </row>
    <row r="58">
      <c r="I58" s="979" t="s">
        <v>851</v>
      </c>
      <c r="J58" s="1012">
        <v>0.135</v>
      </c>
      <c r="K58" s="1005" t="s">
        <v>854</v>
      </c>
      <c r="L58" s="5"/>
      <c r="M58" s="1002">
        <f>J54*J55*J56</f>
        <v>0</v>
      </c>
      <c r="N58" s="1002">
        <f>J56*J57</f>
        <v>0</v>
      </c>
      <c r="O58" s="1007"/>
      <c r="P58" s="1007"/>
      <c r="Q58" s="1007"/>
      <c r="R58" s="1036"/>
      <c r="S58" s="965"/>
    </row>
    <row r="59">
      <c r="I59" s="989" t="s">
        <v>299</v>
      </c>
      <c r="J59" s="1012">
        <v>0.15</v>
      </c>
      <c r="K59" s="1005" t="s">
        <v>855</v>
      </c>
      <c r="L59" s="5"/>
      <c r="M59" s="1002">
        <f>SUM(M54:N55)</f>
        <v>1417000</v>
      </c>
      <c r="N59" s="1038"/>
      <c r="O59" s="1007"/>
      <c r="P59" s="1007"/>
      <c r="Q59" s="1007"/>
      <c r="R59" s="1007"/>
      <c r="S59" s="965"/>
    </row>
    <row r="60">
      <c r="I60" s="989" t="s">
        <v>350</v>
      </c>
      <c r="J60" s="1039">
        <v>0.16</v>
      </c>
      <c r="K60" s="1012">
        <v>0.065</v>
      </c>
      <c r="L60" s="965"/>
      <c r="M60" s="965"/>
      <c r="N60" s="965"/>
      <c r="O60" s="965"/>
      <c r="P60" s="965"/>
      <c r="Q60" s="965"/>
      <c r="R60" s="965"/>
      <c r="S60" s="965"/>
    </row>
    <row r="61">
      <c r="I61" s="989" t="s">
        <v>856</v>
      </c>
      <c r="J61" s="1041">
        <v>0.31</v>
      </c>
      <c r="K61" s="965"/>
      <c r="L61" s="965"/>
      <c r="M61" s="965"/>
      <c r="N61" s="965"/>
      <c r="O61" s="965"/>
      <c r="P61" s="965"/>
      <c r="Q61" s="965"/>
      <c r="R61" s="965"/>
      <c r="S61" s="965"/>
    </row>
    <row r="62">
      <c r="I62" s="989" t="s">
        <v>858</v>
      </c>
      <c r="J62" s="1043">
        <f>K46*J61</f>
        <v>0</v>
      </c>
      <c r="K62" s="965"/>
      <c r="L62" s="965"/>
      <c r="M62" s="965"/>
      <c r="N62" s="965"/>
      <c r="O62" s="965"/>
      <c r="P62" s="965"/>
      <c r="Q62" s="965"/>
      <c r="R62" s="965"/>
      <c r="S62" s="965"/>
    </row>
    <row r="64">
      <c r="I64" s="966" t="s">
        <v>783</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785</v>
      </c>
      <c r="J65" s="980">
        <f>DAY(EOMONTH(J64,0))</f>
        <v>31</v>
      </c>
      <c r="K65" s="981" t="s">
        <v>786</v>
      </c>
      <c r="L65" s="981" t="s">
        <v>317</v>
      </c>
      <c r="M65" s="981" t="s">
        <v>295</v>
      </c>
      <c r="N65" s="981" t="s">
        <v>296</v>
      </c>
      <c r="O65" s="981" t="s">
        <v>787</v>
      </c>
      <c r="P65" s="981" t="s">
        <v>788</v>
      </c>
      <c r="Q65" s="979" t="s">
        <v>789</v>
      </c>
      <c r="R65" s="982">
        <v>970.0</v>
      </c>
      <c r="S65" s="983" t="s">
        <v>451</v>
      </c>
    </row>
    <row r="66">
      <c r="I66" s="979" t="s">
        <v>317</v>
      </c>
      <c r="J66" s="980">
        <f t="array" ref="J66">xlookup(K64,$B$3:$B$14,$C$3:$C$14)*100</f>
        <v>0</v>
      </c>
      <c r="K66" s="992">
        <f>SUM(M66:O66)</f>
        <v>448</v>
      </c>
      <c r="L66" s="992">
        <v>100.0</v>
      </c>
      <c r="M66" s="982">
        <v>369.0</v>
      </c>
      <c r="N66" s="982">
        <v>79.0</v>
      </c>
      <c r="O66" s="993"/>
      <c r="P66" s="992">
        <f>K66*J65</f>
        <v>13888</v>
      </c>
      <c r="Q66" s="994" t="s">
        <v>796</v>
      </c>
      <c r="R66" s="995">
        <f>P78</f>
        <v>1641694</v>
      </c>
      <c r="S66" s="969">
        <v>435.0</v>
      </c>
    </row>
    <row r="67">
      <c r="I67" s="979" t="s">
        <v>800</v>
      </c>
      <c r="J67" s="982">
        <v>640000.0</v>
      </c>
      <c r="K67" s="992">
        <f>K66*J66%</f>
        <v>0</v>
      </c>
      <c r="L67" s="1002">
        <f>(K67-J83)/K66*100</f>
        <v>0</v>
      </c>
      <c r="M67" s="992">
        <f>M66*L67%</f>
        <v>0</v>
      </c>
      <c r="N67" s="992">
        <f>N66*L67%</f>
        <v>0</v>
      </c>
      <c r="O67" s="992">
        <f>O66*L67%</f>
        <v>0</v>
      </c>
      <c r="P67" s="992">
        <f>K67*J65</f>
        <v>0</v>
      </c>
      <c r="Q67" s="979" t="s">
        <v>318</v>
      </c>
      <c r="R67" s="995">
        <f>R65*P67+R66</f>
        <v>1641694</v>
      </c>
      <c r="S67" s="965"/>
    </row>
    <row r="68">
      <c r="I68" s="979" t="s">
        <v>804</v>
      </c>
      <c r="J68" s="1004">
        <v>540000.0</v>
      </c>
      <c r="K68" s="1005" t="s">
        <v>805</v>
      </c>
      <c r="L68" s="5"/>
      <c r="M68" s="1006">
        <f t="shared" ref="M68:O68" si="20">M64/20.5</f>
        <v>20.34146341</v>
      </c>
      <c r="N68" s="1006">
        <f t="shared" si="20"/>
        <v>23.12195122</v>
      </c>
      <c r="O68" s="1006">
        <f t="shared" si="20"/>
        <v>26.87804878</v>
      </c>
      <c r="P68" s="1007"/>
      <c r="Q68" s="979" t="s">
        <v>806</v>
      </c>
      <c r="R68" s="992">
        <f>M73+SUM(M77:N78)+R76</f>
        <v>1001027.2</v>
      </c>
      <c r="S68" s="965"/>
    </row>
    <row r="69">
      <c r="I69" s="1009" t="s">
        <v>810</v>
      </c>
      <c r="J69" s="1010">
        <v>1300.0</v>
      </c>
      <c r="K69" s="1011" t="s">
        <v>811</v>
      </c>
      <c r="L69" s="5"/>
      <c r="M69" s="992">
        <f t="shared" ref="M69:O69" si="21">M67/(360/M68)</f>
        <v>0</v>
      </c>
      <c r="N69" s="992">
        <f t="shared" si="21"/>
        <v>0</v>
      </c>
      <c r="O69" s="992">
        <f t="shared" si="21"/>
        <v>0</v>
      </c>
      <c r="P69" s="992">
        <f t="shared" ref="P69:P70" si="22">M69+N69+O69</f>
        <v>0</v>
      </c>
      <c r="Q69" s="979" t="s">
        <v>316</v>
      </c>
      <c r="R69" s="1012">
        <f>R68/R67</f>
        <v>0.6097526092</v>
      </c>
      <c r="S69" s="1013"/>
    </row>
    <row r="70">
      <c r="I70" s="1015" t="s">
        <v>816</v>
      </c>
      <c r="J70" s="1010">
        <v>6.0</v>
      </c>
      <c r="K70" s="1016" t="s">
        <v>817</v>
      </c>
      <c r="L70" s="982">
        <v>1230.0</v>
      </c>
      <c r="M70" s="992">
        <f>M69*(L70*6)</f>
        <v>0</v>
      </c>
      <c r="N70" s="992">
        <f>N69*(L70*6)</f>
        <v>0</v>
      </c>
      <c r="O70" s="992">
        <f>O69*(L70*6)</f>
        <v>0</v>
      </c>
      <c r="P70" s="992">
        <f t="shared" si="22"/>
        <v>0</v>
      </c>
      <c r="Q70" s="979" t="s">
        <v>807</v>
      </c>
      <c r="R70" s="995">
        <f>R67-R68-M80</f>
        <v>-776333.2</v>
      </c>
      <c r="S70" s="965"/>
    </row>
    <row r="71">
      <c r="I71" s="1017" t="s">
        <v>822</v>
      </c>
      <c r="J71" s="993"/>
      <c r="K71" s="1018"/>
      <c r="L71" s="1007"/>
      <c r="M71" s="1007"/>
      <c r="N71" s="1007"/>
      <c r="O71" s="1007"/>
      <c r="P71" s="1007"/>
      <c r="Q71" s="979" t="s">
        <v>315</v>
      </c>
      <c r="R71" s="1012">
        <f>R70/R67</f>
        <v>-0.4728854464</v>
      </c>
      <c r="S71" s="969">
        <v>29.94</v>
      </c>
    </row>
    <row r="72">
      <c r="I72" s="1009" t="s">
        <v>827</v>
      </c>
      <c r="J72" s="1010">
        <v>1320.0</v>
      </c>
      <c r="K72" s="1011" t="s">
        <v>828</v>
      </c>
      <c r="L72" s="5"/>
      <c r="M72" s="992">
        <f>P70+(P69*J78)</f>
        <v>0</v>
      </c>
      <c r="N72" s="1007"/>
      <c r="O72" s="1019" t="s">
        <v>829</v>
      </c>
      <c r="P72" s="994" t="s">
        <v>830</v>
      </c>
      <c r="Q72" s="1020" t="s">
        <v>831</v>
      </c>
      <c r="R72" s="5"/>
      <c r="S72" s="965"/>
    </row>
    <row r="73">
      <c r="I73" s="1022" t="s">
        <v>836</v>
      </c>
      <c r="J73" s="1010">
        <v>6.0</v>
      </c>
      <c r="K73" s="1011" t="s">
        <v>837</v>
      </c>
      <c r="L73" s="5"/>
      <c r="M73" s="992">
        <f>M72*J65+K66*K81*J65*75</f>
        <v>67704</v>
      </c>
      <c r="N73" s="1023"/>
      <c r="O73" s="1024" t="s">
        <v>395</v>
      </c>
      <c r="P73" s="1025">
        <v>436670.0</v>
      </c>
      <c r="Q73" s="979" t="s">
        <v>838</v>
      </c>
      <c r="R73" s="1002">
        <f>J65*J83*830</f>
        <v>0</v>
      </c>
      <c r="S73" s="965"/>
    </row>
    <row r="74">
      <c r="I74" s="1022" t="s">
        <v>842</v>
      </c>
      <c r="J74" s="1010">
        <f>J65</f>
        <v>31</v>
      </c>
      <c r="K74" s="1011" t="s">
        <v>843</v>
      </c>
      <c r="L74" s="5"/>
      <c r="M74" s="979" t="s">
        <v>406</v>
      </c>
      <c r="N74" s="1017" t="s">
        <v>379</v>
      </c>
      <c r="O74" s="981" t="s">
        <v>844</v>
      </c>
      <c r="P74" s="1027">
        <v>364800.0</v>
      </c>
      <c r="Q74" s="994" t="s">
        <v>299</v>
      </c>
      <c r="R74" s="1002">
        <f>J65*(K66*0.4%)*100</f>
        <v>5555.2</v>
      </c>
      <c r="S74" s="965"/>
    </row>
    <row r="75">
      <c r="I75" s="1009" t="s">
        <v>845</v>
      </c>
      <c r="J75" s="993"/>
      <c r="K75" s="1011" t="s">
        <v>846</v>
      </c>
      <c r="L75" s="5"/>
      <c r="M75" s="1002">
        <f t="shared" ref="M75:M76" si="23">J67*1.15</f>
        <v>736000</v>
      </c>
      <c r="N75" s="1032">
        <v>30000.0</v>
      </c>
      <c r="O75" s="1024" t="s">
        <v>299</v>
      </c>
      <c r="P75" s="1033">
        <f>K66*J80*J65*100</f>
        <v>208320</v>
      </c>
      <c r="Q75" s="979" t="s">
        <v>350</v>
      </c>
      <c r="R75" s="1002">
        <f>J65*(K66*9%)*150</f>
        <v>187488</v>
      </c>
      <c r="S75" s="965"/>
    </row>
    <row r="76">
      <c r="I76" s="1009" t="s">
        <v>847</v>
      </c>
      <c r="J76" s="993"/>
      <c r="K76" s="1011" t="s">
        <v>848</v>
      </c>
      <c r="L76" s="5"/>
      <c r="M76" s="1002">
        <f t="shared" si="23"/>
        <v>621000</v>
      </c>
      <c r="N76" s="1002">
        <v>30000.0</v>
      </c>
      <c r="O76" s="1024" t="s">
        <v>350</v>
      </c>
      <c r="P76" s="1033">
        <f>K66*J81*J65*200</f>
        <v>444416</v>
      </c>
      <c r="Q76" s="979" t="s">
        <v>303</v>
      </c>
      <c r="R76" s="992">
        <f>R73+R74+R75</f>
        <v>193043.2</v>
      </c>
      <c r="S76" s="965"/>
    </row>
    <row r="77">
      <c r="I77" s="1009" t="s">
        <v>849</v>
      </c>
      <c r="J77" s="993"/>
      <c r="K77" s="1034" t="s">
        <v>850</v>
      </c>
      <c r="L77" s="5"/>
      <c r="M77" s="1002">
        <f>(J65*4.5-21.7*4)*J69*J70</f>
        <v>411060</v>
      </c>
      <c r="N77" s="1002">
        <f>(J65*4.5-21.7*4)*J78</f>
        <v>52700</v>
      </c>
      <c r="O77" s="1035" t="s">
        <v>851</v>
      </c>
      <c r="P77" s="1033">
        <f>K66*J79*J65*100</f>
        <v>187488</v>
      </c>
      <c r="Q77" s="1007"/>
      <c r="R77" s="1036"/>
      <c r="S77" s="965"/>
    </row>
    <row r="78">
      <c r="I78" s="989" t="s">
        <v>852</v>
      </c>
      <c r="J78" s="1037">
        <v>1000.0</v>
      </c>
      <c r="K78" s="1005" t="s">
        <v>853</v>
      </c>
      <c r="L78" s="5"/>
      <c r="M78" s="1002">
        <f>J72*J73*J74</f>
        <v>245520</v>
      </c>
      <c r="N78" s="1002">
        <f>J65*J78</f>
        <v>31000</v>
      </c>
      <c r="O78" s="979" t="s">
        <v>303</v>
      </c>
      <c r="P78" s="995">
        <f>SUM(P73:P77)</f>
        <v>1641694</v>
      </c>
      <c r="Q78" s="1007"/>
      <c r="R78" s="1007"/>
      <c r="S78" s="965"/>
    </row>
    <row r="79">
      <c r="I79" s="979" t="s">
        <v>851</v>
      </c>
      <c r="J79" s="1012">
        <v>0.135</v>
      </c>
      <c r="K79" s="1005" t="s">
        <v>854</v>
      </c>
      <c r="L79" s="5"/>
      <c r="M79" s="1002">
        <f>J75*J76*J77</f>
        <v>0</v>
      </c>
      <c r="N79" s="1002">
        <f>J77*J78</f>
        <v>0</v>
      </c>
      <c r="O79" s="1007"/>
      <c r="P79" s="1007"/>
      <c r="Q79" s="1007"/>
      <c r="R79" s="1036"/>
      <c r="S79" s="965"/>
    </row>
    <row r="80">
      <c r="I80" s="989" t="s">
        <v>299</v>
      </c>
      <c r="J80" s="1012">
        <v>0.15</v>
      </c>
      <c r="K80" s="1005" t="s">
        <v>855</v>
      </c>
      <c r="L80" s="5"/>
      <c r="M80" s="1002">
        <f>SUM(M75:N76)</f>
        <v>1417000</v>
      </c>
      <c r="N80" s="1038"/>
      <c r="O80" s="1007"/>
      <c r="P80" s="1007"/>
      <c r="Q80" s="1007"/>
      <c r="R80" s="1007"/>
      <c r="S80" s="965"/>
    </row>
    <row r="81">
      <c r="I81" s="989" t="s">
        <v>350</v>
      </c>
      <c r="J81" s="1039">
        <v>0.16</v>
      </c>
      <c r="K81" s="1012">
        <v>0.065</v>
      </c>
      <c r="L81" s="965"/>
      <c r="M81" s="965"/>
      <c r="N81" s="965"/>
      <c r="O81" s="965"/>
      <c r="P81" s="965"/>
      <c r="Q81" s="965"/>
      <c r="R81" s="965"/>
      <c r="S81" s="965"/>
    </row>
    <row r="82">
      <c r="I82" s="989" t="s">
        <v>856</v>
      </c>
      <c r="J82" s="1041">
        <v>0.31</v>
      </c>
      <c r="K82" s="965"/>
      <c r="L82" s="965"/>
      <c r="M82" s="965"/>
      <c r="N82" s="965"/>
      <c r="O82" s="965"/>
      <c r="P82" s="965"/>
      <c r="Q82" s="965"/>
      <c r="R82" s="965"/>
      <c r="S82" s="965"/>
    </row>
    <row r="83">
      <c r="I83" s="989" t="s">
        <v>858</v>
      </c>
      <c r="J83" s="1043">
        <f>K67*J82</f>
        <v>0</v>
      </c>
      <c r="K83" s="965"/>
      <c r="L83" s="965"/>
      <c r="M83" s="965"/>
      <c r="N83" s="965"/>
      <c r="O83" s="965"/>
      <c r="P83" s="965"/>
      <c r="Q83" s="965"/>
      <c r="R83" s="965"/>
      <c r="S83" s="965"/>
    </row>
    <row r="85">
      <c r="I85" s="966" t="s">
        <v>783</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785</v>
      </c>
      <c r="J86" s="980">
        <f>DAY(EOMONTH(J85,0))</f>
        <v>30</v>
      </c>
      <c r="K86" s="981" t="s">
        <v>786</v>
      </c>
      <c r="L86" s="981" t="s">
        <v>317</v>
      </c>
      <c r="M86" s="981" t="s">
        <v>295</v>
      </c>
      <c r="N86" s="981" t="s">
        <v>296</v>
      </c>
      <c r="O86" s="981" t="s">
        <v>787</v>
      </c>
      <c r="P86" s="981" t="s">
        <v>788</v>
      </c>
      <c r="Q86" s="979" t="s">
        <v>789</v>
      </c>
      <c r="R86" s="982">
        <v>970.0</v>
      </c>
      <c r="S86" s="983" t="s">
        <v>451</v>
      </c>
    </row>
    <row r="87">
      <c r="I87" s="979" t="s">
        <v>317</v>
      </c>
      <c r="J87" s="980">
        <f t="array" ref="J87">xlookup(K85,$B$3:$B$14,$C$3:$C$14)*100</f>
        <v>0</v>
      </c>
      <c r="K87" s="992">
        <f>SUM(M87:O87)</f>
        <v>448</v>
      </c>
      <c r="L87" s="992">
        <v>100.0</v>
      </c>
      <c r="M87" s="982">
        <v>369.0</v>
      </c>
      <c r="N87" s="982">
        <v>79.0</v>
      </c>
      <c r="O87" s="993"/>
      <c r="P87" s="992">
        <f>K87*J86</f>
        <v>13440</v>
      </c>
      <c r="Q87" s="994" t="s">
        <v>796</v>
      </c>
      <c r="R87" s="995">
        <f>P99</f>
        <v>1614590</v>
      </c>
      <c r="S87" s="969">
        <v>435.0</v>
      </c>
    </row>
    <row r="88">
      <c r="I88" s="979" t="s">
        <v>800</v>
      </c>
      <c r="J88" s="982">
        <v>640000.0</v>
      </c>
      <c r="K88" s="992">
        <f>K87*J87%</f>
        <v>0</v>
      </c>
      <c r="L88" s="1002">
        <f>(K88-J104)/K87*100</f>
        <v>0</v>
      </c>
      <c r="M88" s="992">
        <f>M87*L88%</f>
        <v>0</v>
      </c>
      <c r="N88" s="992">
        <f>N87*L88%</f>
        <v>0</v>
      </c>
      <c r="O88" s="992">
        <f>O87*L88%</f>
        <v>0</v>
      </c>
      <c r="P88" s="992">
        <f>K88*J86</f>
        <v>0</v>
      </c>
      <c r="Q88" s="979" t="s">
        <v>318</v>
      </c>
      <c r="R88" s="995">
        <f>R86*P88+R87</f>
        <v>1614590</v>
      </c>
      <c r="S88" s="965"/>
    </row>
    <row r="89">
      <c r="I89" s="979" t="s">
        <v>804</v>
      </c>
      <c r="J89" s="1004">
        <v>540000.0</v>
      </c>
      <c r="K89" s="1005" t="s">
        <v>805</v>
      </c>
      <c r="L89" s="5"/>
      <c r="M89" s="1006">
        <f t="shared" ref="M89:O89" si="24">M85/20.5</f>
        <v>20.34146341</v>
      </c>
      <c r="N89" s="1006">
        <f t="shared" si="24"/>
        <v>23.12195122</v>
      </c>
      <c r="O89" s="1006">
        <f t="shared" si="24"/>
        <v>26.87804878</v>
      </c>
      <c r="P89" s="1007"/>
      <c r="Q89" s="979" t="s">
        <v>806</v>
      </c>
      <c r="R89" s="992">
        <f>M94+SUM(M98:N99)+R97</f>
        <v>944096</v>
      </c>
      <c r="S89" s="965"/>
    </row>
    <row r="90">
      <c r="I90" s="1009" t="s">
        <v>810</v>
      </c>
      <c r="J90" s="1010">
        <v>1300.0</v>
      </c>
      <c r="K90" s="1011" t="s">
        <v>811</v>
      </c>
      <c r="L90" s="5"/>
      <c r="M90" s="992">
        <f t="shared" ref="M90:O90" si="25">M88/(360/M89)</f>
        <v>0</v>
      </c>
      <c r="N90" s="992">
        <f t="shared" si="25"/>
        <v>0</v>
      </c>
      <c r="O90" s="992">
        <f t="shared" si="25"/>
        <v>0</v>
      </c>
      <c r="P90" s="992">
        <f t="shared" ref="P90:P91" si="26">M90+N90+O90</f>
        <v>0</v>
      </c>
      <c r="Q90" s="979" t="s">
        <v>316</v>
      </c>
      <c r="R90" s="1012">
        <f>R89/R88</f>
        <v>0.5847280114</v>
      </c>
      <c r="S90" s="1013"/>
    </row>
    <row r="91">
      <c r="I91" s="1015" t="s">
        <v>816</v>
      </c>
      <c r="J91" s="1010">
        <v>6.0</v>
      </c>
      <c r="K91" s="1016" t="s">
        <v>817</v>
      </c>
      <c r="L91" s="982">
        <v>1230.0</v>
      </c>
      <c r="M91" s="992">
        <f>M90*(L91*6)</f>
        <v>0</v>
      </c>
      <c r="N91" s="992">
        <f>N90*(L91*6)</f>
        <v>0</v>
      </c>
      <c r="O91" s="992">
        <f>O90*(L91*6)</f>
        <v>0</v>
      </c>
      <c r="P91" s="992">
        <f t="shared" si="26"/>
        <v>0</v>
      </c>
      <c r="Q91" s="979" t="s">
        <v>807</v>
      </c>
      <c r="R91" s="995">
        <f>R88-R89-M101</f>
        <v>-746506</v>
      </c>
      <c r="S91" s="965"/>
    </row>
    <row r="92">
      <c r="I92" s="1017" t="s">
        <v>822</v>
      </c>
      <c r="J92" s="993"/>
      <c r="K92" s="1018"/>
      <c r="L92" s="1007"/>
      <c r="M92" s="1007"/>
      <c r="N92" s="1007"/>
      <c r="O92" s="1007"/>
      <c r="P92" s="1007"/>
      <c r="Q92" s="979" t="s">
        <v>315</v>
      </c>
      <c r="R92" s="1012">
        <f>R91/R88</f>
        <v>-0.4623501942</v>
      </c>
      <c r="S92" s="969">
        <v>29.94</v>
      </c>
    </row>
    <row r="93">
      <c r="I93" s="1009" t="s">
        <v>827</v>
      </c>
      <c r="J93" s="1010">
        <v>1320.0</v>
      </c>
      <c r="K93" s="1011" t="s">
        <v>828</v>
      </c>
      <c r="L93" s="5"/>
      <c r="M93" s="992">
        <f>P91+(P90*J99)</f>
        <v>0</v>
      </c>
      <c r="N93" s="1007"/>
      <c r="O93" s="1019" t="s">
        <v>829</v>
      </c>
      <c r="P93" s="994" t="s">
        <v>830</v>
      </c>
      <c r="Q93" s="1020" t="s">
        <v>831</v>
      </c>
      <c r="R93" s="5"/>
      <c r="S93" s="965"/>
    </row>
    <row r="94">
      <c r="I94" s="1022" t="s">
        <v>836</v>
      </c>
      <c r="J94" s="1010">
        <v>6.0</v>
      </c>
      <c r="K94" s="1011" t="s">
        <v>837</v>
      </c>
      <c r="L94" s="5"/>
      <c r="M94" s="992">
        <f>M93*J86+K87*K102*J86*75</f>
        <v>65520</v>
      </c>
      <c r="N94" s="1023"/>
      <c r="O94" s="1024" t="s">
        <v>395</v>
      </c>
      <c r="P94" s="1025">
        <v>436670.0</v>
      </c>
      <c r="Q94" s="979" t="s">
        <v>838</v>
      </c>
      <c r="R94" s="1002">
        <f>J86*J104*830</f>
        <v>0</v>
      </c>
      <c r="S94" s="965"/>
    </row>
    <row r="95">
      <c r="I95" s="1022" t="s">
        <v>842</v>
      </c>
      <c r="J95" s="1010">
        <f>J86</f>
        <v>30</v>
      </c>
      <c r="K95" s="1011" t="s">
        <v>843</v>
      </c>
      <c r="L95" s="5"/>
      <c r="M95" s="979" t="s">
        <v>406</v>
      </c>
      <c r="N95" s="1017" t="s">
        <v>379</v>
      </c>
      <c r="O95" s="981" t="s">
        <v>844</v>
      </c>
      <c r="P95" s="1027">
        <v>364800.0</v>
      </c>
      <c r="Q95" s="994" t="s">
        <v>299</v>
      </c>
      <c r="R95" s="1002">
        <f>J86*(K87*0.4%)*100</f>
        <v>5376</v>
      </c>
      <c r="S95" s="965"/>
    </row>
    <row r="96">
      <c r="I96" s="1009" t="s">
        <v>845</v>
      </c>
      <c r="J96" s="993"/>
      <c r="K96" s="1011" t="s">
        <v>846</v>
      </c>
      <c r="L96" s="5"/>
      <c r="M96" s="1002">
        <f t="shared" ref="M96:M97" si="27">J88*1.15</f>
        <v>736000</v>
      </c>
      <c r="N96" s="1032">
        <v>30000.0</v>
      </c>
      <c r="O96" s="1024" t="s">
        <v>299</v>
      </c>
      <c r="P96" s="1033">
        <f>K87*J101*J86*100</f>
        <v>201600</v>
      </c>
      <c r="Q96" s="979" t="s">
        <v>350</v>
      </c>
      <c r="R96" s="1002">
        <f>J86*(K87*9%)*150</f>
        <v>181440</v>
      </c>
      <c r="S96" s="965"/>
    </row>
    <row r="97">
      <c r="I97" s="1009" t="s">
        <v>847</v>
      </c>
      <c r="J97" s="993"/>
      <c r="K97" s="1011" t="s">
        <v>848</v>
      </c>
      <c r="L97" s="5"/>
      <c r="M97" s="1002">
        <f t="shared" si="27"/>
        <v>621000</v>
      </c>
      <c r="N97" s="1002">
        <v>30000.0</v>
      </c>
      <c r="O97" s="1024" t="s">
        <v>350</v>
      </c>
      <c r="P97" s="1033">
        <f>K87*J102*J86*200</f>
        <v>430080</v>
      </c>
      <c r="Q97" s="979" t="s">
        <v>303</v>
      </c>
      <c r="R97" s="992">
        <f>R94+R95+R96</f>
        <v>186816</v>
      </c>
      <c r="S97" s="965"/>
    </row>
    <row r="98">
      <c r="I98" s="1009" t="s">
        <v>849</v>
      </c>
      <c r="J98" s="993"/>
      <c r="K98" s="1034" t="s">
        <v>850</v>
      </c>
      <c r="L98" s="5"/>
      <c r="M98" s="1002">
        <f>(J86*4.5-21.7*4)*J90*J91</f>
        <v>375960</v>
      </c>
      <c r="N98" s="1002">
        <f>(J86*4.5-21.7*4)*J99</f>
        <v>48200</v>
      </c>
      <c r="O98" s="1035" t="s">
        <v>851</v>
      </c>
      <c r="P98" s="1033">
        <f>K87*J100*J86*100</f>
        <v>181440</v>
      </c>
      <c r="Q98" s="1007"/>
      <c r="R98" s="1036"/>
      <c r="S98" s="965"/>
    </row>
    <row r="99">
      <c r="I99" s="989" t="s">
        <v>852</v>
      </c>
      <c r="J99" s="1037">
        <v>1000.0</v>
      </c>
      <c r="K99" s="1005" t="s">
        <v>853</v>
      </c>
      <c r="L99" s="5"/>
      <c r="M99" s="1002">
        <f>J93*J94*J95</f>
        <v>237600</v>
      </c>
      <c r="N99" s="1002">
        <f>J86*J99</f>
        <v>30000</v>
      </c>
      <c r="O99" s="979" t="s">
        <v>303</v>
      </c>
      <c r="P99" s="995">
        <f>SUM(P94:P98)</f>
        <v>1614590</v>
      </c>
      <c r="Q99" s="1007"/>
      <c r="R99" s="1007"/>
      <c r="S99" s="965"/>
    </row>
    <row r="100">
      <c r="I100" s="979" t="s">
        <v>851</v>
      </c>
      <c r="J100" s="1012">
        <v>0.135</v>
      </c>
      <c r="K100" s="1005" t="s">
        <v>854</v>
      </c>
      <c r="L100" s="5"/>
      <c r="M100" s="1002">
        <f>J96*J97*J98</f>
        <v>0</v>
      </c>
      <c r="N100" s="1002">
        <f>J98*J99</f>
        <v>0</v>
      </c>
      <c r="O100" s="1007"/>
      <c r="P100" s="1007"/>
      <c r="Q100" s="1007"/>
      <c r="R100" s="1036"/>
      <c r="S100" s="965"/>
    </row>
    <row r="101">
      <c r="I101" s="989" t="s">
        <v>299</v>
      </c>
      <c r="J101" s="1012">
        <v>0.15</v>
      </c>
      <c r="K101" s="1005" t="s">
        <v>855</v>
      </c>
      <c r="L101" s="5"/>
      <c r="M101" s="1002">
        <f>SUM(M96:N97)</f>
        <v>1417000</v>
      </c>
      <c r="N101" s="1038"/>
      <c r="O101" s="1007"/>
      <c r="P101" s="1007"/>
      <c r="Q101" s="1007"/>
      <c r="R101" s="1007"/>
      <c r="S101" s="965"/>
    </row>
    <row r="102">
      <c r="I102" s="989" t="s">
        <v>350</v>
      </c>
      <c r="J102" s="1039">
        <v>0.16</v>
      </c>
      <c r="K102" s="1012">
        <v>0.065</v>
      </c>
      <c r="L102" s="965"/>
      <c r="M102" s="965"/>
      <c r="N102" s="965"/>
      <c r="O102" s="965"/>
      <c r="P102" s="965"/>
      <c r="Q102" s="965"/>
      <c r="R102" s="965"/>
      <c r="S102" s="965"/>
    </row>
    <row r="103">
      <c r="I103" s="989" t="s">
        <v>856</v>
      </c>
      <c r="J103" s="1041">
        <v>0.31</v>
      </c>
      <c r="K103" s="965"/>
      <c r="L103" s="965"/>
      <c r="M103" s="965"/>
      <c r="N103" s="965"/>
      <c r="O103" s="965"/>
      <c r="P103" s="965"/>
      <c r="Q103" s="965"/>
      <c r="R103" s="965"/>
      <c r="S103" s="965"/>
    </row>
    <row r="104">
      <c r="I104" s="989" t="s">
        <v>858</v>
      </c>
      <c r="J104" s="1043">
        <f>K88*J103</f>
        <v>0</v>
      </c>
      <c r="K104" s="965"/>
      <c r="L104" s="965"/>
      <c r="M104" s="965"/>
      <c r="N104" s="965"/>
      <c r="O104" s="965"/>
      <c r="P104" s="965"/>
      <c r="Q104" s="965"/>
      <c r="R104" s="965"/>
      <c r="S104" s="965"/>
    </row>
    <row r="106">
      <c r="I106" s="966" t="s">
        <v>783</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785</v>
      </c>
      <c r="J107" s="980">
        <f>DAY(EOMONTH(J106,0))</f>
        <v>31</v>
      </c>
      <c r="K107" s="981" t="s">
        <v>786</v>
      </c>
      <c r="L107" s="981" t="s">
        <v>317</v>
      </c>
      <c r="M107" s="981" t="s">
        <v>295</v>
      </c>
      <c r="N107" s="981" t="s">
        <v>296</v>
      </c>
      <c r="O107" s="981" t="s">
        <v>787</v>
      </c>
      <c r="P107" s="981" t="s">
        <v>788</v>
      </c>
      <c r="Q107" s="979" t="s">
        <v>789</v>
      </c>
      <c r="R107" s="982">
        <v>970.0</v>
      </c>
      <c r="S107" s="983" t="s">
        <v>451</v>
      </c>
    </row>
    <row r="108">
      <c r="I108" s="979" t="s">
        <v>317</v>
      </c>
      <c r="J108" s="980">
        <f t="array" ref="J108">xlookup(K106,$B$3:$B$14,$C$3:$C$14)*100</f>
        <v>0</v>
      </c>
      <c r="K108" s="992">
        <f>SUM(M108:O108)</f>
        <v>448</v>
      </c>
      <c r="L108" s="992">
        <v>100.0</v>
      </c>
      <c r="M108" s="982">
        <v>369.0</v>
      </c>
      <c r="N108" s="982">
        <v>79.0</v>
      </c>
      <c r="O108" s="993"/>
      <c r="P108" s="992">
        <f>K108*J107</f>
        <v>13888</v>
      </c>
      <c r="Q108" s="994" t="s">
        <v>796</v>
      </c>
      <c r="R108" s="995">
        <f>P120</f>
        <v>1641694</v>
      </c>
      <c r="S108" s="969">
        <v>435.0</v>
      </c>
    </row>
    <row r="109">
      <c r="I109" s="979" t="s">
        <v>800</v>
      </c>
      <c r="J109" s="982">
        <v>640000.0</v>
      </c>
      <c r="K109" s="992">
        <f>K108*J108%</f>
        <v>0</v>
      </c>
      <c r="L109" s="1002">
        <f>(K109-J125)/K108*100</f>
        <v>0</v>
      </c>
      <c r="M109" s="992">
        <f>M108*L109%</f>
        <v>0</v>
      </c>
      <c r="N109" s="992">
        <f>N108*L109%</f>
        <v>0</v>
      </c>
      <c r="O109" s="992">
        <f>O108*L109%</f>
        <v>0</v>
      </c>
      <c r="P109" s="992">
        <f>K109*J107</f>
        <v>0</v>
      </c>
      <c r="Q109" s="979" t="s">
        <v>318</v>
      </c>
      <c r="R109" s="995">
        <f>R107*P109+R108</f>
        <v>1641694</v>
      </c>
      <c r="S109" s="965"/>
    </row>
    <row r="110">
      <c r="I110" s="979" t="s">
        <v>804</v>
      </c>
      <c r="J110" s="1004">
        <v>540000.0</v>
      </c>
      <c r="K110" s="1005" t="s">
        <v>805</v>
      </c>
      <c r="L110" s="5"/>
      <c r="M110" s="1006">
        <f t="shared" ref="M110:O110" si="28">M106/20.5</f>
        <v>20.34146341</v>
      </c>
      <c r="N110" s="1006">
        <f t="shared" si="28"/>
        <v>23.12195122</v>
      </c>
      <c r="O110" s="1006">
        <f t="shared" si="28"/>
        <v>26.87804878</v>
      </c>
      <c r="P110" s="1007"/>
      <c r="Q110" s="979" t="s">
        <v>806</v>
      </c>
      <c r="R110" s="992">
        <f>M115+SUM(M119:N120)+R118</f>
        <v>1001027.2</v>
      </c>
      <c r="S110" s="965"/>
    </row>
    <row r="111">
      <c r="I111" s="1009" t="s">
        <v>810</v>
      </c>
      <c r="J111" s="1010">
        <v>1300.0</v>
      </c>
      <c r="K111" s="1011" t="s">
        <v>811</v>
      </c>
      <c r="L111" s="5"/>
      <c r="M111" s="992">
        <f t="shared" ref="M111:O111" si="29">M109/(360/M110)</f>
        <v>0</v>
      </c>
      <c r="N111" s="992">
        <f t="shared" si="29"/>
        <v>0</v>
      </c>
      <c r="O111" s="992">
        <f t="shared" si="29"/>
        <v>0</v>
      </c>
      <c r="P111" s="992">
        <f t="shared" ref="P111:P112" si="30">M111+N111+O111</f>
        <v>0</v>
      </c>
      <c r="Q111" s="979" t="s">
        <v>316</v>
      </c>
      <c r="R111" s="1012">
        <f>R110/R109</f>
        <v>0.6097526092</v>
      </c>
      <c r="S111" s="1013"/>
    </row>
    <row r="112">
      <c r="I112" s="1015" t="s">
        <v>816</v>
      </c>
      <c r="J112" s="1010">
        <v>6.0</v>
      </c>
      <c r="K112" s="1016" t="s">
        <v>817</v>
      </c>
      <c r="L112" s="982">
        <v>1230.0</v>
      </c>
      <c r="M112" s="992">
        <f>M111*(L112*6)</f>
        <v>0</v>
      </c>
      <c r="N112" s="992">
        <f>N111*(L112*6)</f>
        <v>0</v>
      </c>
      <c r="O112" s="992">
        <f>O111*(L112*6)</f>
        <v>0</v>
      </c>
      <c r="P112" s="992">
        <f t="shared" si="30"/>
        <v>0</v>
      </c>
      <c r="Q112" s="979" t="s">
        <v>807</v>
      </c>
      <c r="R112" s="995">
        <f>R109-R110-M122</f>
        <v>-776333.2</v>
      </c>
      <c r="S112" s="965"/>
    </row>
    <row r="113">
      <c r="I113" s="1017" t="s">
        <v>822</v>
      </c>
      <c r="J113" s="993"/>
      <c r="K113" s="1018"/>
      <c r="L113" s="1007"/>
      <c r="M113" s="1007"/>
      <c r="N113" s="1007"/>
      <c r="O113" s="1007"/>
      <c r="P113" s="1007"/>
      <c r="Q113" s="979" t="s">
        <v>315</v>
      </c>
      <c r="R113" s="1012">
        <f>R112/R109</f>
        <v>-0.4728854464</v>
      </c>
      <c r="S113" s="969">
        <v>29.94</v>
      </c>
    </row>
    <row r="114">
      <c r="I114" s="1009" t="s">
        <v>827</v>
      </c>
      <c r="J114" s="1010">
        <v>1320.0</v>
      </c>
      <c r="K114" s="1011" t="s">
        <v>828</v>
      </c>
      <c r="L114" s="5"/>
      <c r="M114" s="992">
        <f>P112+(P111*J120)</f>
        <v>0</v>
      </c>
      <c r="N114" s="1007"/>
      <c r="O114" s="1019" t="s">
        <v>829</v>
      </c>
      <c r="P114" s="994" t="s">
        <v>830</v>
      </c>
      <c r="Q114" s="1020" t="s">
        <v>831</v>
      </c>
      <c r="R114" s="5"/>
      <c r="S114" s="965"/>
    </row>
    <row r="115">
      <c r="I115" s="1022" t="s">
        <v>836</v>
      </c>
      <c r="J115" s="1010">
        <v>6.0</v>
      </c>
      <c r="K115" s="1011" t="s">
        <v>837</v>
      </c>
      <c r="L115" s="5"/>
      <c r="M115" s="992">
        <f>M114*J107+K108*K123*J107*75</f>
        <v>67704</v>
      </c>
      <c r="N115" s="1023"/>
      <c r="O115" s="1024" t="s">
        <v>395</v>
      </c>
      <c r="P115" s="1025">
        <v>436670.0</v>
      </c>
      <c r="Q115" s="979" t="s">
        <v>838</v>
      </c>
      <c r="R115" s="1002">
        <f>J107*J125*830</f>
        <v>0</v>
      </c>
      <c r="S115" s="965"/>
    </row>
    <row r="116">
      <c r="I116" s="1022" t="s">
        <v>842</v>
      </c>
      <c r="J116" s="1010">
        <f>J107</f>
        <v>31</v>
      </c>
      <c r="K116" s="1011" t="s">
        <v>843</v>
      </c>
      <c r="L116" s="5"/>
      <c r="M116" s="979" t="s">
        <v>406</v>
      </c>
      <c r="N116" s="1017" t="s">
        <v>379</v>
      </c>
      <c r="O116" s="981" t="s">
        <v>844</v>
      </c>
      <c r="P116" s="1027">
        <v>364800.0</v>
      </c>
      <c r="Q116" s="994" t="s">
        <v>299</v>
      </c>
      <c r="R116" s="1002">
        <f>J107*(K108*0.4%)*100</f>
        <v>5555.2</v>
      </c>
      <c r="S116" s="965"/>
    </row>
    <row r="117">
      <c r="I117" s="1009" t="s">
        <v>845</v>
      </c>
      <c r="J117" s="993"/>
      <c r="K117" s="1011" t="s">
        <v>846</v>
      </c>
      <c r="L117" s="5"/>
      <c r="M117" s="1002">
        <f t="shared" ref="M117:M118" si="31">J109*1.15</f>
        <v>736000</v>
      </c>
      <c r="N117" s="1032">
        <v>30000.0</v>
      </c>
      <c r="O117" s="1024" t="s">
        <v>299</v>
      </c>
      <c r="P117" s="1033">
        <f>K108*J122*J107*100</f>
        <v>208320</v>
      </c>
      <c r="Q117" s="979" t="s">
        <v>350</v>
      </c>
      <c r="R117" s="1002">
        <f>J107*(K108*9%)*150</f>
        <v>187488</v>
      </c>
      <c r="S117" s="965"/>
    </row>
    <row r="118">
      <c r="I118" s="1009" t="s">
        <v>847</v>
      </c>
      <c r="J118" s="993"/>
      <c r="K118" s="1011" t="s">
        <v>848</v>
      </c>
      <c r="L118" s="5"/>
      <c r="M118" s="1002">
        <f t="shared" si="31"/>
        <v>621000</v>
      </c>
      <c r="N118" s="1002">
        <v>30000.0</v>
      </c>
      <c r="O118" s="1024" t="s">
        <v>350</v>
      </c>
      <c r="P118" s="1033">
        <f>K108*J123*J107*200</f>
        <v>444416</v>
      </c>
      <c r="Q118" s="979" t="s">
        <v>303</v>
      </c>
      <c r="R118" s="992">
        <f>R115+R116+R117</f>
        <v>193043.2</v>
      </c>
      <c r="S118" s="965"/>
    </row>
    <row r="119">
      <c r="I119" s="1009" t="s">
        <v>849</v>
      </c>
      <c r="J119" s="993"/>
      <c r="K119" s="1034" t="s">
        <v>850</v>
      </c>
      <c r="L119" s="5"/>
      <c r="M119" s="1002">
        <f>(J107*4.5-21.7*4)*J111*J112</f>
        <v>411060</v>
      </c>
      <c r="N119" s="1002">
        <f>(J107*4.5-21.7*4)*J120</f>
        <v>52700</v>
      </c>
      <c r="O119" s="1035" t="s">
        <v>851</v>
      </c>
      <c r="P119" s="1033">
        <f>K108*J121*J107*100</f>
        <v>187488</v>
      </c>
      <c r="Q119" s="1007"/>
      <c r="R119" s="1036"/>
      <c r="S119" s="965"/>
    </row>
    <row r="120">
      <c r="I120" s="989" t="s">
        <v>852</v>
      </c>
      <c r="J120" s="1037">
        <v>1000.0</v>
      </c>
      <c r="K120" s="1005" t="s">
        <v>853</v>
      </c>
      <c r="L120" s="5"/>
      <c r="M120" s="1002">
        <f>J114*J115*J116</f>
        <v>245520</v>
      </c>
      <c r="N120" s="1002">
        <f>J107*J120</f>
        <v>31000</v>
      </c>
      <c r="O120" s="979" t="s">
        <v>303</v>
      </c>
      <c r="P120" s="995">
        <f>SUM(P115:P119)</f>
        <v>1641694</v>
      </c>
      <c r="Q120" s="1007"/>
      <c r="R120" s="1007"/>
      <c r="S120" s="965"/>
    </row>
    <row r="121">
      <c r="I121" s="979" t="s">
        <v>851</v>
      </c>
      <c r="J121" s="1012">
        <v>0.135</v>
      </c>
      <c r="K121" s="1005" t="s">
        <v>854</v>
      </c>
      <c r="L121" s="5"/>
      <c r="M121" s="1002">
        <f>J117*J118*J119</f>
        <v>0</v>
      </c>
      <c r="N121" s="1002">
        <f>J119*J120</f>
        <v>0</v>
      </c>
      <c r="O121" s="1007"/>
      <c r="P121" s="1007"/>
      <c r="Q121" s="1007"/>
      <c r="R121" s="1036"/>
      <c r="S121" s="965"/>
    </row>
    <row r="122">
      <c r="I122" s="989" t="s">
        <v>299</v>
      </c>
      <c r="J122" s="1012">
        <v>0.15</v>
      </c>
      <c r="K122" s="1005" t="s">
        <v>855</v>
      </c>
      <c r="L122" s="5"/>
      <c r="M122" s="1002">
        <f>SUM(M117:N118)</f>
        <v>1417000</v>
      </c>
      <c r="N122" s="1038"/>
      <c r="O122" s="1007"/>
      <c r="P122" s="1007"/>
      <c r="Q122" s="1007"/>
      <c r="R122" s="1007"/>
      <c r="S122" s="965"/>
    </row>
    <row r="123">
      <c r="I123" s="989" t="s">
        <v>350</v>
      </c>
      <c r="J123" s="1039">
        <v>0.16</v>
      </c>
      <c r="K123" s="1012">
        <v>0.065</v>
      </c>
      <c r="L123" s="965"/>
      <c r="M123" s="965"/>
      <c r="N123" s="965"/>
      <c r="O123" s="965"/>
      <c r="P123" s="965"/>
      <c r="Q123" s="965"/>
      <c r="R123" s="965"/>
      <c r="S123" s="965"/>
    </row>
    <row r="124">
      <c r="I124" s="989" t="s">
        <v>856</v>
      </c>
      <c r="J124" s="1041">
        <v>0.31</v>
      </c>
      <c r="K124" s="965"/>
      <c r="L124" s="965"/>
      <c r="M124" s="965"/>
      <c r="N124" s="965"/>
      <c r="O124" s="965"/>
      <c r="P124" s="965"/>
      <c r="Q124" s="965"/>
      <c r="R124" s="965"/>
      <c r="S124" s="965"/>
    </row>
    <row r="125">
      <c r="I125" s="989" t="s">
        <v>858</v>
      </c>
      <c r="J125" s="1043">
        <f>K109*J124</f>
        <v>0</v>
      </c>
      <c r="K125" s="965"/>
      <c r="L125" s="965"/>
      <c r="M125" s="965"/>
      <c r="N125" s="965"/>
      <c r="O125" s="965"/>
      <c r="P125" s="965"/>
      <c r="Q125" s="965"/>
      <c r="R125" s="965"/>
      <c r="S125" s="965"/>
    </row>
    <row r="127">
      <c r="I127" s="966" t="s">
        <v>783</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785</v>
      </c>
      <c r="J128" s="980">
        <f>DAY(EOMONTH(J127,0))</f>
        <v>31</v>
      </c>
      <c r="K128" s="981" t="s">
        <v>786</v>
      </c>
      <c r="L128" s="981" t="s">
        <v>317</v>
      </c>
      <c r="M128" s="981" t="s">
        <v>295</v>
      </c>
      <c r="N128" s="981" t="s">
        <v>296</v>
      </c>
      <c r="O128" s="981" t="s">
        <v>787</v>
      </c>
      <c r="P128" s="981" t="s">
        <v>788</v>
      </c>
      <c r="Q128" s="979" t="s">
        <v>789</v>
      </c>
      <c r="R128" s="982">
        <v>970.0</v>
      </c>
      <c r="S128" s="983" t="s">
        <v>451</v>
      </c>
    </row>
    <row r="129">
      <c r="I129" s="979" t="s">
        <v>317</v>
      </c>
      <c r="J129" s="980">
        <f t="array" ref="J129">xlookup(K127,$B$3:$B$14,$C$3:$C$14)*100</f>
        <v>0</v>
      </c>
      <c r="K129" s="992">
        <f>SUM(M129:O129)</f>
        <v>448</v>
      </c>
      <c r="L129" s="992">
        <v>100.0</v>
      </c>
      <c r="M129" s="982">
        <v>369.0</v>
      </c>
      <c r="N129" s="982">
        <v>79.0</v>
      </c>
      <c r="O129" s="993"/>
      <c r="P129" s="992">
        <f>K129*J128</f>
        <v>13888</v>
      </c>
      <c r="Q129" s="994" t="s">
        <v>796</v>
      </c>
      <c r="R129" s="995">
        <f>P141</f>
        <v>1641694</v>
      </c>
      <c r="S129" s="969">
        <v>435.0</v>
      </c>
    </row>
    <row r="130">
      <c r="I130" s="979" t="s">
        <v>800</v>
      </c>
      <c r="J130" s="982">
        <v>640000.0</v>
      </c>
      <c r="K130" s="992">
        <f>K129*J129%</f>
        <v>0</v>
      </c>
      <c r="L130" s="1002">
        <f>(K130-J146)/K129*100</f>
        <v>0</v>
      </c>
      <c r="M130" s="992">
        <f>M129*L130%</f>
        <v>0</v>
      </c>
      <c r="N130" s="992">
        <f>N129*L130%</f>
        <v>0</v>
      </c>
      <c r="O130" s="992">
        <f>O129*L130%</f>
        <v>0</v>
      </c>
      <c r="P130" s="992">
        <f>K130*J128</f>
        <v>0</v>
      </c>
      <c r="Q130" s="979" t="s">
        <v>318</v>
      </c>
      <c r="R130" s="995">
        <f>R128*P130+R129</f>
        <v>1641694</v>
      </c>
      <c r="S130" s="965"/>
    </row>
    <row r="131">
      <c r="I131" s="979" t="s">
        <v>804</v>
      </c>
      <c r="J131" s="1004">
        <v>540000.0</v>
      </c>
      <c r="K131" s="1005" t="s">
        <v>805</v>
      </c>
      <c r="L131" s="5"/>
      <c r="M131" s="1006">
        <f t="shared" ref="M131:O131" si="32">M127/20.5</f>
        <v>20.34146341</v>
      </c>
      <c r="N131" s="1006">
        <f t="shared" si="32"/>
        <v>23.12195122</v>
      </c>
      <c r="O131" s="1006">
        <f t="shared" si="32"/>
        <v>26.87804878</v>
      </c>
      <c r="P131" s="1007"/>
      <c r="Q131" s="979" t="s">
        <v>806</v>
      </c>
      <c r="R131" s="992">
        <f>M136+SUM(M140:N141)+R139</f>
        <v>1001027.2</v>
      </c>
      <c r="S131" s="965"/>
    </row>
    <row r="132">
      <c r="I132" s="1009" t="s">
        <v>810</v>
      </c>
      <c r="J132" s="1010">
        <v>1300.0</v>
      </c>
      <c r="K132" s="1011" t="s">
        <v>811</v>
      </c>
      <c r="L132" s="5"/>
      <c r="M132" s="992">
        <f t="shared" ref="M132:O132" si="33">M130/(360/M131)</f>
        <v>0</v>
      </c>
      <c r="N132" s="992">
        <f t="shared" si="33"/>
        <v>0</v>
      </c>
      <c r="O132" s="992">
        <f t="shared" si="33"/>
        <v>0</v>
      </c>
      <c r="P132" s="992">
        <f t="shared" ref="P132:P133" si="34">M132+N132+O132</f>
        <v>0</v>
      </c>
      <c r="Q132" s="979" t="s">
        <v>316</v>
      </c>
      <c r="R132" s="1012">
        <f>R131/R130</f>
        <v>0.6097526092</v>
      </c>
      <c r="S132" s="1013"/>
    </row>
    <row r="133">
      <c r="I133" s="1015" t="s">
        <v>816</v>
      </c>
      <c r="J133" s="1010">
        <v>6.0</v>
      </c>
      <c r="K133" s="1016" t="s">
        <v>817</v>
      </c>
      <c r="L133" s="982">
        <v>1230.0</v>
      </c>
      <c r="M133" s="992">
        <f>M132*(L133*6)</f>
        <v>0</v>
      </c>
      <c r="N133" s="992">
        <f>N132*(L133*6)</f>
        <v>0</v>
      </c>
      <c r="O133" s="992">
        <f>O132*(L133*6)</f>
        <v>0</v>
      </c>
      <c r="P133" s="992">
        <f t="shared" si="34"/>
        <v>0</v>
      </c>
      <c r="Q133" s="979" t="s">
        <v>807</v>
      </c>
      <c r="R133" s="995">
        <f>R130-R131-M143</f>
        <v>-776333.2</v>
      </c>
      <c r="S133" s="965"/>
    </row>
    <row r="134">
      <c r="I134" s="1017" t="s">
        <v>822</v>
      </c>
      <c r="J134" s="993"/>
      <c r="K134" s="1018"/>
      <c r="L134" s="1007"/>
      <c r="M134" s="1007"/>
      <c r="N134" s="1007"/>
      <c r="O134" s="1007"/>
      <c r="P134" s="1007"/>
      <c r="Q134" s="979" t="s">
        <v>315</v>
      </c>
      <c r="R134" s="1012">
        <f>R133/R130</f>
        <v>-0.4728854464</v>
      </c>
      <c r="S134" s="969">
        <v>29.94</v>
      </c>
    </row>
    <row r="135">
      <c r="I135" s="1009" t="s">
        <v>827</v>
      </c>
      <c r="J135" s="1010">
        <v>1320.0</v>
      </c>
      <c r="K135" s="1011" t="s">
        <v>828</v>
      </c>
      <c r="L135" s="5"/>
      <c r="M135" s="992">
        <f>P133+(P132*J141)</f>
        <v>0</v>
      </c>
      <c r="N135" s="1007"/>
      <c r="O135" s="1019" t="s">
        <v>829</v>
      </c>
      <c r="P135" s="994" t="s">
        <v>830</v>
      </c>
      <c r="Q135" s="1020" t="s">
        <v>831</v>
      </c>
      <c r="R135" s="5"/>
      <c r="S135" s="965"/>
    </row>
    <row r="136">
      <c r="I136" s="1022" t="s">
        <v>836</v>
      </c>
      <c r="J136" s="1010">
        <v>6.0</v>
      </c>
      <c r="K136" s="1011" t="s">
        <v>837</v>
      </c>
      <c r="L136" s="5"/>
      <c r="M136" s="992">
        <f>M135*J128+K129*K144*J128*75</f>
        <v>67704</v>
      </c>
      <c r="N136" s="1023"/>
      <c r="O136" s="1024" t="s">
        <v>395</v>
      </c>
      <c r="P136" s="1025">
        <v>436670.0</v>
      </c>
      <c r="Q136" s="979" t="s">
        <v>838</v>
      </c>
      <c r="R136" s="1002">
        <f>J128*J146*830</f>
        <v>0</v>
      </c>
      <c r="S136" s="965"/>
    </row>
    <row r="137">
      <c r="I137" s="1022" t="s">
        <v>842</v>
      </c>
      <c r="J137" s="1010">
        <f>J128</f>
        <v>31</v>
      </c>
      <c r="K137" s="1011" t="s">
        <v>843</v>
      </c>
      <c r="L137" s="5"/>
      <c r="M137" s="979" t="s">
        <v>406</v>
      </c>
      <c r="N137" s="1017" t="s">
        <v>379</v>
      </c>
      <c r="O137" s="981" t="s">
        <v>844</v>
      </c>
      <c r="P137" s="1027">
        <v>364800.0</v>
      </c>
      <c r="Q137" s="994" t="s">
        <v>299</v>
      </c>
      <c r="R137" s="1002">
        <f>J128*(K129*0.4%)*100</f>
        <v>5555.2</v>
      </c>
      <c r="S137" s="965"/>
    </row>
    <row r="138">
      <c r="I138" s="1009" t="s">
        <v>845</v>
      </c>
      <c r="J138" s="993"/>
      <c r="K138" s="1011" t="s">
        <v>846</v>
      </c>
      <c r="L138" s="5"/>
      <c r="M138" s="1002">
        <f t="shared" ref="M138:M139" si="35">J130*1.15</f>
        <v>736000</v>
      </c>
      <c r="N138" s="1032">
        <v>30000.0</v>
      </c>
      <c r="O138" s="1024" t="s">
        <v>299</v>
      </c>
      <c r="P138" s="1033">
        <f>K129*J143*J128*100</f>
        <v>208320</v>
      </c>
      <c r="Q138" s="979" t="s">
        <v>350</v>
      </c>
      <c r="R138" s="1002">
        <f>J128*(K129*9%)*150</f>
        <v>187488</v>
      </c>
      <c r="S138" s="965"/>
    </row>
    <row r="139">
      <c r="I139" s="1009" t="s">
        <v>847</v>
      </c>
      <c r="J139" s="993"/>
      <c r="K139" s="1011" t="s">
        <v>848</v>
      </c>
      <c r="L139" s="5"/>
      <c r="M139" s="1002">
        <f t="shared" si="35"/>
        <v>621000</v>
      </c>
      <c r="N139" s="1002">
        <v>30000.0</v>
      </c>
      <c r="O139" s="1024" t="s">
        <v>350</v>
      </c>
      <c r="P139" s="1033">
        <f>K129*J144*J128*200</f>
        <v>444416</v>
      </c>
      <c r="Q139" s="979" t="s">
        <v>303</v>
      </c>
      <c r="R139" s="992">
        <f>R136+R137+R138</f>
        <v>193043.2</v>
      </c>
      <c r="S139" s="965"/>
    </row>
    <row r="140">
      <c r="I140" s="1009" t="s">
        <v>849</v>
      </c>
      <c r="J140" s="993"/>
      <c r="K140" s="1034" t="s">
        <v>850</v>
      </c>
      <c r="L140" s="5"/>
      <c r="M140" s="1002">
        <f>(J128*4.5-21.7*4)*J132*J133</f>
        <v>411060</v>
      </c>
      <c r="N140" s="1002">
        <f>(J128*4.5-21.7*4)*J141</f>
        <v>52700</v>
      </c>
      <c r="O140" s="1035" t="s">
        <v>851</v>
      </c>
      <c r="P140" s="1033">
        <f>K129*J142*J128*100</f>
        <v>187488</v>
      </c>
      <c r="Q140" s="1007"/>
      <c r="R140" s="1036"/>
      <c r="S140" s="965"/>
    </row>
    <row r="141">
      <c r="I141" s="989" t="s">
        <v>852</v>
      </c>
      <c r="J141" s="1037">
        <v>1000.0</v>
      </c>
      <c r="K141" s="1005" t="s">
        <v>853</v>
      </c>
      <c r="L141" s="5"/>
      <c r="M141" s="1002">
        <f>J135*J136*J137</f>
        <v>245520</v>
      </c>
      <c r="N141" s="1002">
        <f>J128*J141</f>
        <v>31000</v>
      </c>
      <c r="O141" s="979" t="s">
        <v>303</v>
      </c>
      <c r="P141" s="995">
        <f>SUM(P136:P140)</f>
        <v>1641694</v>
      </c>
      <c r="Q141" s="1007"/>
      <c r="R141" s="1007"/>
      <c r="S141" s="965"/>
    </row>
    <row r="142">
      <c r="I142" s="979" t="s">
        <v>851</v>
      </c>
      <c r="J142" s="1012">
        <v>0.135</v>
      </c>
      <c r="K142" s="1005" t="s">
        <v>854</v>
      </c>
      <c r="L142" s="5"/>
      <c r="M142" s="1002">
        <f>J138*J139*J140</f>
        <v>0</v>
      </c>
      <c r="N142" s="1002">
        <f>J140*J141</f>
        <v>0</v>
      </c>
      <c r="O142" s="1007"/>
      <c r="P142" s="1007"/>
      <c r="Q142" s="1007"/>
      <c r="R142" s="1036"/>
      <c r="S142" s="965"/>
    </row>
    <row r="143">
      <c r="I143" s="989" t="s">
        <v>299</v>
      </c>
      <c r="J143" s="1012">
        <v>0.15</v>
      </c>
      <c r="K143" s="1005" t="s">
        <v>855</v>
      </c>
      <c r="L143" s="5"/>
      <c r="M143" s="1002">
        <f>SUM(M138:N139)</f>
        <v>1417000</v>
      </c>
      <c r="N143" s="1038"/>
      <c r="O143" s="1007"/>
      <c r="P143" s="1007"/>
      <c r="Q143" s="1007"/>
      <c r="R143" s="1007"/>
      <c r="S143" s="965"/>
    </row>
    <row r="144">
      <c r="I144" s="989" t="s">
        <v>350</v>
      </c>
      <c r="J144" s="1039">
        <v>0.16</v>
      </c>
      <c r="K144" s="1012">
        <v>0.065</v>
      </c>
      <c r="L144" s="965"/>
      <c r="M144" s="965"/>
      <c r="N144" s="965"/>
      <c r="O144" s="965"/>
      <c r="P144" s="965"/>
      <c r="Q144" s="965"/>
      <c r="R144" s="965"/>
      <c r="S144" s="965"/>
    </row>
    <row r="145">
      <c r="I145" s="989" t="s">
        <v>856</v>
      </c>
      <c r="J145" s="1041">
        <v>0.31</v>
      </c>
      <c r="K145" s="965"/>
      <c r="L145" s="965"/>
      <c r="M145" s="965"/>
      <c r="N145" s="965"/>
      <c r="O145" s="965"/>
      <c r="P145" s="965"/>
      <c r="Q145" s="965"/>
      <c r="R145" s="965"/>
      <c r="S145" s="965"/>
    </row>
    <row r="146">
      <c r="I146" s="989" t="s">
        <v>858</v>
      </c>
      <c r="J146" s="1043">
        <f>K130*J145</f>
        <v>0</v>
      </c>
      <c r="K146" s="965"/>
      <c r="L146" s="965"/>
      <c r="M146" s="965"/>
      <c r="N146" s="965"/>
      <c r="O146" s="965"/>
      <c r="P146" s="965"/>
      <c r="Q146" s="965"/>
      <c r="R146" s="965"/>
      <c r="S146" s="965"/>
    </row>
    <row r="148">
      <c r="I148" s="966" t="s">
        <v>783</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785</v>
      </c>
      <c r="J149" s="980">
        <f>DAY(EOMONTH(J148,0))</f>
        <v>30</v>
      </c>
      <c r="K149" s="981" t="s">
        <v>786</v>
      </c>
      <c r="L149" s="981" t="s">
        <v>317</v>
      </c>
      <c r="M149" s="981" t="s">
        <v>295</v>
      </c>
      <c r="N149" s="981" t="s">
        <v>296</v>
      </c>
      <c r="O149" s="981" t="s">
        <v>787</v>
      </c>
      <c r="P149" s="981" t="s">
        <v>788</v>
      </c>
      <c r="Q149" s="979" t="s">
        <v>789</v>
      </c>
      <c r="R149" s="982">
        <v>970.0</v>
      </c>
      <c r="S149" s="983" t="s">
        <v>451</v>
      </c>
    </row>
    <row r="150">
      <c r="I150" s="979" t="s">
        <v>317</v>
      </c>
      <c r="J150" s="980">
        <f t="array" ref="J150">xlookup(K148,$B$3:$B$14,$C$3:$C$14)*100</f>
        <v>0</v>
      </c>
      <c r="K150" s="992">
        <f>SUM(M150:O150)</f>
        <v>448</v>
      </c>
      <c r="L150" s="992">
        <v>100.0</v>
      </c>
      <c r="M150" s="982">
        <v>369.0</v>
      </c>
      <c r="N150" s="982">
        <v>79.0</v>
      </c>
      <c r="O150" s="993"/>
      <c r="P150" s="992">
        <f>K150*J149</f>
        <v>13440</v>
      </c>
      <c r="Q150" s="994" t="s">
        <v>796</v>
      </c>
      <c r="R150" s="995">
        <f>P162</f>
        <v>1614590</v>
      </c>
      <c r="S150" s="969">
        <v>435.0</v>
      </c>
    </row>
    <row r="151">
      <c r="I151" s="979" t="s">
        <v>800</v>
      </c>
      <c r="J151" s="982">
        <v>640000.0</v>
      </c>
      <c r="K151" s="992">
        <f>K150*J150%</f>
        <v>0</v>
      </c>
      <c r="L151" s="1002">
        <f>(K151-J167)/K150*100</f>
        <v>0</v>
      </c>
      <c r="M151" s="992">
        <f>M150*L151%</f>
        <v>0</v>
      </c>
      <c r="N151" s="992">
        <f>N150*L151%</f>
        <v>0</v>
      </c>
      <c r="O151" s="992">
        <f>O150*L151%</f>
        <v>0</v>
      </c>
      <c r="P151" s="992">
        <f>K151*J149</f>
        <v>0</v>
      </c>
      <c r="Q151" s="979" t="s">
        <v>318</v>
      </c>
      <c r="R151" s="995">
        <f>R149*P151+R150</f>
        <v>1614590</v>
      </c>
      <c r="S151" s="965"/>
    </row>
    <row r="152">
      <c r="I152" s="979" t="s">
        <v>804</v>
      </c>
      <c r="J152" s="1004">
        <v>540000.0</v>
      </c>
      <c r="K152" s="1005" t="s">
        <v>805</v>
      </c>
      <c r="L152" s="5"/>
      <c r="M152" s="1006">
        <f t="shared" ref="M152:O152" si="36">M148/20.5</f>
        <v>20.34146341</v>
      </c>
      <c r="N152" s="1006">
        <f t="shared" si="36"/>
        <v>23.12195122</v>
      </c>
      <c r="O152" s="1006">
        <f t="shared" si="36"/>
        <v>26.87804878</v>
      </c>
      <c r="P152" s="1007"/>
      <c r="Q152" s="979" t="s">
        <v>806</v>
      </c>
      <c r="R152" s="992">
        <f>M157+SUM(M161:N162)+R160</f>
        <v>944096</v>
      </c>
      <c r="S152" s="965"/>
    </row>
    <row r="153">
      <c r="I153" s="1009" t="s">
        <v>810</v>
      </c>
      <c r="J153" s="1010">
        <v>1300.0</v>
      </c>
      <c r="K153" s="1011" t="s">
        <v>811</v>
      </c>
      <c r="L153" s="5"/>
      <c r="M153" s="992">
        <f t="shared" ref="M153:O153" si="37">M151/(360/M152)</f>
        <v>0</v>
      </c>
      <c r="N153" s="992">
        <f t="shared" si="37"/>
        <v>0</v>
      </c>
      <c r="O153" s="992">
        <f t="shared" si="37"/>
        <v>0</v>
      </c>
      <c r="P153" s="992">
        <f t="shared" ref="P153:P154" si="38">M153+N153+O153</f>
        <v>0</v>
      </c>
      <c r="Q153" s="979" t="s">
        <v>316</v>
      </c>
      <c r="R153" s="1012">
        <f>R152/R151</f>
        <v>0.5847280114</v>
      </c>
      <c r="S153" s="1013"/>
    </row>
    <row r="154">
      <c r="I154" s="1015" t="s">
        <v>816</v>
      </c>
      <c r="J154" s="1010">
        <v>6.0</v>
      </c>
      <c r="K154" s="1016" t="s">
        <v>817</v>
      </c>
      <c r="L154" s="982">
        <v>1230.0</v>
      </c>
      <c r="M154" s="992">
        <f>M153*(L154*6)</f>
        <v>0</v>
      </c>
      <c r="N154" s="992">
        <f>N153*(L154*6)</f>
        <v>0</v>
      </c>
      <c r="O154" s="992">
        <f>O153*(L154*6)</f>
        <v>0</v>
      </c>
      <c r="P154" s="992">
        <f t="shared" si="38"/>
        <v>0</v>
      </c>
      <c r="Q154" s="979" t="s">
        <v>807</v>
      </c>
      <c r="R154" s="995">
        <f>R151-R152-M164</f>
        <v>-746506</v>
      </c>
      <c r="S154" s="965"/>
    </row>
    <row r="155">
      <c r="I155" s="1017" t="s">
        <v>822</v>
      </c>
      <c r="J155" s="993"/>
      <c r="K155" s="1018"/>
      <c r="L155" s="1007"/>
      <c r="M155" s="1007"/>
      <c r="N155" s="1007"/>
      <c r="O155" s="1007"/>
      <c r="P155" s="1007"/>
      <c r="Q155" s="979" t="s">
        <v>315</v>
      </c>
      <c r="R155" s="1012">
        <f>R154/R151</f>
        <v>-0.4623501942</v>
      </c>
      <c r="S155" s="969">
        <v>29.94</v>
      </c>
    </row>
    <row r="156">
      <c r="I156" s="1009" t="s">
        <v>827</v>
      </c>
      <c r="J156" s="1010">
        <v>1320.0</v>
      </c>
      <c r="K156" s="1011" t="s">
        <v>828</v>
      </c>
      <c r="L156" s="5"/>
      <c r="M156" s="992">
        <f>P154+(P153*J162)</f>
        <v>0</v>
      </c>
      <c r="N156" s="1007"/>
      <c r="O156" s="1019" t="s">
        <v>829</v>
      </c>
      <c r="P156" s="994" t="s">
        <v>830</v>
      </c>
      <c r="Q156" s="1020" t="s">
        <v>831</v>
      </c>
      <c r="R156" s="5"/>
      <c r="S156" s="965"/>
    </row>
    <row r="157">
      <c r="I157" s="1022" t="s">
        <v>836</v>
      </c>
      <c r="J157" s="1010">
        <v>6.0</v>
      </c>
      <c r="K157" s="1011" t="s">
        <v>837</v>
      </c>
      <c r="L157" s="5"/>
      <c r="M157" s="992">
        <f>M156*J149+K150*K165*J149*75</f>
        <v>65520</v>
      </c>
      <c r="N157" s="1023"/>
      <c r="O157" s="1024" t="s">
        <v>395</v>
      </c>
      <c r="P157" s="1025">
        <v>436670.0</v>
      </c>
      <c r="Q157" s="979" t="s">
        <v>838</v>
      </c>
      <c r="R157" s="1002">
        <f>J149*J167*830</f>
        <v>0</v>
      </c>
      <c r="S157" s="965"/>
    </row>
    <row r="158">
      <c r="I158" s="1022" t="s">
        <v>842</v>
      </c>
      <c r="J158" s="1010">
        <f>J149</f>
        <v>30</v>
      </c>
      <c r="K158" s="1011" t="s">
        <v>843</v>
      </c>
      <c r="L158" s="5"/>
      <c r="M158" s="979" t="s">
        <v>406</v>
      </c>
      <c r="N158" s="1017" t="s">
        <v>379</v>
      </c>
      <c r="O158" s="981" t="s">
        <v>844</v>
      </c>
      <c r="P158" s="1027">
        <v>364800.0</v>
      </c>
      <c r="Q158" s="994" t="s">
        <v>299</v>
      </c>
      <c r="R158" s="1002">
        <f>J149*(K150*0.4%)*100</f>
        <v>5376</v>
      </c>
      <c r="S158" s="965"/>
    </row>
    <row r="159">
      <c r="I159" s="1009" t="s">
        <v>845</v>
      </c>
      <c r="J159" s="993"/>
      <c r="K159" s="1011" t="s">
        <v>846</v>
      </c>
      <c r="L159" s="5"/>
      <c r="M159" s="1002">
        <f t="shared" ref="M159:M160" si="39">J151*1.15</f>
        <v>736000</v>
      </c>
      <c r="N159" s="1032">
        <v>30000.0</v>
      </c>
      <c r="O159" s="1024" t="s">
        <v>299</v>
      </c>
      <c r="P159" s="1033">
        <f>K150*J164*J149*100</f>
        <v>201600</v>
      </c>
      <c r="Q159" s="979" t="s">
        <v>350</v>
      </c>
      <c r="R159" s="1002">
        <f>J149*(K150*9%)*150</f>
        <v>181440</v>
      </c>
      <c r="S159" s="965"/>
    </row>
    <row r="160">
      <c r="I160" s="1009" t="s">
        <v>847</v>
      </c>
      <c r="J160" s="993"/>
      <c r="K160" s="1011" t="s">
        <v>848</v>
      </c>
      <c r="L160" s="5"/>
      <c r="M160" s="1002">
        <f t="shared" si="39"/>
        <v>621000</v>
      </c>
      <c r="N160" s="1002">
        <v>30000.0</v>
      </c>
      <c r="O160" s="1024" t="s">
        <v>350</v>
      </c>
      <c r="P160" s="1033">
        <f>K150*J165*J149*200</f>
        <v>430080</v>
      </c>
      <c r="Q160" s="979" t="s">
        <v>303</v>
      </c>
      <c r="R160" s="992">
        <f>R157+R158+R159</f>
        <v>186816</v>
      </c>
      <c r="S160" s="965"/>
    </row>
    <row r="161">
      <c r="I161" s="1009" t="s">
        <v>849</v>
      </c>
      <c r="J161" s="993"/>
      <c r="K161" s="1034" t="s">
        <v>850</v>
      </c>
      <c r="L161" s="5"/>
      <c r="M161" s="1002">
        <f>(J149*4.5-21.7*4)*J153*J154</f>
        <v>375960</v>
      </c>
      <c r="N161" s="1002">
        <f>(J149*4.5-21.7*4)*J162</f>
        <v>48200</v>
      </c>
      <c r="O161" s="1035" t="s">
        <v>851</v>
      </c>
      <c r="P161" s="1033">
        <f>K150*J163*J149*100</f>
        <v>181440</v>
      </c>
      <c r="Q161" s="1007"/>
      <c r="R161" s="1036"/>
      <c r="S161" s="965"/>
    </row>
    <row r="162">
      <c r="I162" s="989" t="s">
        <v>852</v>
      </c>
      <c r="J162" s="1037">
        <v>1000.0</v>
      </c>
      <c r="K162" s="1005" t="s">
        <v>853</v>
      </c>
      <c r="L162" s="5"/>
      <c r="M162" s="1002">
        <f>J156*J157*J158</f>
        <v>237600</v>
      </c>
      <c r="N162" s="1002">
        <f>J149*J162</f>
        <v>30000</v>
      </c>
      <c r="O162" s="979" t="s">
        <v>303</v>
      </c>
      <c r="P162" s="995">
        <f>SUM(P157:P161)</f>
        <v>1614590</v>
      </c>
      <c r="Q162" s="1007"/>
      <c r="R162" s="1007"/>
      <c r="S162" s="965"/>
    </row>
    <row r="163">
      <c r="I163" s="979" t="s">
        <v>851</v>
      </c>
      <c r="J163" s="1012">
        <v>0.135</v>
      </c>
      <c r="K163" s="1005" t="s">
        <v>854</v>
      </c>
      <c r="L163" s="5"/>
      <c r="M163" s="1002">
        <f>J159*J160*J161</f>
        <v>0</v>
      </c>
      <c r="N163" s="1002">
        <f>J161*J162</f>
        <v>0</v>
      </c>
      <c r="O163" s="1007"/>
      <c r="P163" s="1007"/>
      <c r="Q163" s="1007"/>
      <c r="R163" s="1036"/>
      <c r="S163" s="965"/>
    </row>
    <row r="164">
      <c r="I164" s="989" t="s">
        <v>299</v>
      </c>
      <c r="J164" s="1012">
        <v>0.15</v>
      </c>
      <c r="K164" s="1005" t="s">
        <v>855</v>
      </c>
      <c r="L164" s="5"/>
      <c r="M164" s="1002">
        <f>SUM(M159:N160)</f>
        <v>1417000</v>
      </c>
      <c r="N164" s="1038"/>
      <c r="O164" s="1007"/>
      <c r="P164" s="1007"/>
      <c r="Q164" s="1007"/>
      <c r="R164" s="1007"/>
      <c r="S164" s="965"/>
    </row>
    <row r="165">
      <c r="I165" s="989" t="s">
        <v>350</v>
      </c>
      <c r="J165" s="1039">
        <v>0.16</v>
      </c>
      <c r="K165" s="1012">
        <v>0.065</v>
      </c>
      <c r="L165" s="965"/>
      <c r="M165" s="965"/>
      <c r="N165" s="965"/>
      <c r="O165" s="965"/>
      <c r="P165" s="965"/>
      <c r="Q165" s="965"/>
      <c r="R165" s="965"/>
      <c r="S165" s="965"/>
    </row>
    <row r="166">
      <c r="I166" s="989" t="s">
        <v>856</v>
      </c>
      <c r="J166" s="1041">
        <v>0.31</v>
      </c>
      <c r="K166" s="965"/>
      <c r="L166" s="965"/>
      <c r="M166" s="965"/>
      <c r="N166" s="965"/>
      <c r="O166" s="965"/>
      <c r="P166" s="965"/>
      <c r="Q166" s="965"/>
      <c r="R166" s="965"/>
      <c r="S166" s="965"/>
    </row>
    <row r="167">
      <c r="I167" s="989" t="s">
        <v>858</v>
      </c>
      <c r="J167" s="1043">
        <f>K151*J166</f>
        <v>0</v>
      </c>
      <c r="K167" s="965"/>
      <c r="L167" s="965"/>
      <c r="M167" s="965"/>
      <c r="N167" s="965"/>
      <c r="O167" s="965"/>
      <c r="P167" s="965"/>
      <c r="Q167" s="965"/>
      <c r="R167" s="965"/>
      <c r="S167" s="965"/>
    </row>
    <row r="169">
      <c r="I169" s="966" t="s">
        <v>783</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785</v>
      </c>
      <c r="J170" s="980">
        <f>DAY(EOMONTH(J169,0))</f>
        <v>31</v>
      </c>
      <c r="K170" s="981" t="s">
        <v>786</v>
      </c>
      <c r="L170" s="981" t="s">
        <v>317</v>
      </c>
      <c r="M170" s="981" t="s">
        <v>295</v>
      </c>
      <c r="N170" s="981" t="s">
        <v>296</v>
      </c>
      <c r="O170" s="981" t="s">
        <v>787</v>
      </c>
      <c r="P170" s="981" t="s">
        <v>788</v>
      </c>
      <c r="Q170" s="979" t="s">
        <v>789</v>
      </c>
      <c r="R170" s="982">
        <v>970.0</v>
      </c>
      <c r="S170" s="983" t="s">
        <v>451</v>
      </c>
    </row>
    <row r="171">
      <c r="I171" s="979" t="s">
        <v>317</v>
      </c>
      <c r="J171" s="980">
        <f t="array" ref="J171">xlookup(K169,$B$3:$B$14,$C$3:$C$14)*100</f>
        <v>0</v>
      </c>
      <c r="K171" s="992">
        <f>SUM(M171:O171)</f>
        <v>448</v>
      </c>
      <c r="L171" s="992">
        <v>100.0</v>
      </c>
      <c r="M171" s="982">
        <v>369.0</v>
      </c>
      <c r="N171" s="982">
        <v>79.0</v>
      </c>
      <c r="O171" s="993"/>
      <c r="P171" s="992">
        <f>K171*J170</f>
        <v>13888</v>
      </c>
      <c r="Q171" s="994" t="s">
        <v>796</v>
      </c>
      <c r="R171" s="995">
        <f>P183</f>
        <v>2738846</v>
      </c>
      <c r="S171" s="969">
        <v>435.0</v>
      </c>
    </row>
    <row r="172">
      <c r="I172" s="979" t="s">
        <v>800</v>
      </c>
      <c r="J172" s="982">
        <v>640000.0</v>
      </c>
      <c r="K172" s="992">
        <f>K171*J171%</f>
        <v>0</v>
      </c>
      <c r="L172" s="1002">
        <f>(K172-J188)/K171*100</f>
        <v>0</v>
      </c>
      <c r="M172" s="992">
        <f>M171*L172%</f>
        <v>0</v>
      </c>
      <c r="N172" s="992">
        <f>N171*L172%</f>
        <v>0</v>
      </c>
      <c r="O172" s="992">
        <f>O171*L172%</f>
        <v>0</v>
      </c>
      <c r="P172" s="992">
        <f>K172*J170</f>
        <v>0</v>
      </c>
      <c r="Q172" s="979" t="s">
        <v>318</v>
      </c>
      <c r="R172" s="995">
        <f>R170*P172+R171</f>
        <v>2738846</v>
      </c>
      <c r="S172" s="965"/>
    </row>
    <row r="173">
      <c r="I173" s="979" t="s">
        <v>804</v>
      </c>
      <c r="J173" s="1004">
        <v>540000.0</v>
      </c>
      <c r="K173" s="1005" t="s">
        <v>805</v>
      </c>
      <c r="L173" s="5"/>
      <c r="M173" s="1006">
        <f t="shared" ref="M173:O173" si="40">M169/20.5</f>
        <v>20.34146341</v>
      </c>
      <c r="N173" s="1006">
        <f t="shared" si="40"/>
        <v>23.12195122</v>
      </c>
      <c r="O173" s="1006">
        <f t="shared" si="40"/>
        <v>26.87804878</v>
      </c>
      <c r="P173" s="1007"/>
      <c r="Q173" s="979" t="s">
        <v>806</v>
      </c>
      <c r="R173" s="992">
        <f>M178+SUM(M182:N183)+R181</f>
        <v>1019776</v>
      </c>
      <c r="S173" s="965"/>
    </row>
    <row r="174">
      <c r="I174" s="1009" t="s">
        <v>810</v>
      </c>
      <c r="J174" s="1010">
        <v>1300.0</v>
      </c>
      <c r="K174" s="1011" t="s">
        <v>811</v>
      </c>
      <c r="L174" s="5"/>
      <c r="M174" s="992">
        <f t="shared" ref="M174:O174" si="41">M172/(360/M173)</f>
        <v>0</v>
      </c>
      <c r="N174" s="992">
        <f t="shared" si="41"/>
        <v>0</v>
      </c>
      <c r="O174" s="992">
        <f t="shared" si="41"/>
        <v>0</v>
      </c>
      <c r="P174" s="992">
        <f t="shared" ref="P174:P175" si="42">M174+N174+O174</f>
        <v>0</v>
      </c>
      <c r="Q174" s="979" t="s">
        <v>316</v>
      </c>
      <c r="R174" s="1012">
        <f>R173/R172</f>
        <v>0.3723378386</v>
      </c>
      <c r="S174" s="1013"/>
    </row>
    <row r="175">
      <c r="I175" s="1015" t="s">
        <v>816</v>
      </c>
      <c r="J175" s="1010">
        <v>6.0</v>
      </c>
      <c r="K175" s="1016" t="s">
        <v>817</v>
      </c>
      <c r="L175" s="982">
        <v>1230.0</v>
      </c>
      <c r="M175" s="992">
        <f>M174*(L175*6)</f>
        <v>0</v>
      </c>
      <c r="N175" s="992">
        <f>N174*(L175*6)</f>
        <v>0</v>
      </c>
      <c r="O175" s="992">
        <f>O174*(L175*6)</f>
        <v>0</v>
      </c>
      <c r="P175" s="992">
        <f t="shared" si="42"/>
        <v>0</v>
      </c>
      <c r="Q175" s="979" t="s">
        <v>807</v>
      </c>
      <c r="R175" s="995">
        <f>R172-R173-M185</f>
        <v>302070</v>
      </c>
      <c r="S175" s="965"/>
    </row>
    <row r="176">
      <c r="I176" s="1017" t="s">
        <v>822</v>
      </c>
      <c r="J176" s="993"/>
      <c r="K176" s="1018"/>
      <c r="L176" s="1007"/>
      <c r="M176" s="1007"/>
      <c r="N176" s="1007"/>
      <c r="O176" s="1007"/>
      <c r="P176" s="1007"/>
      <c r="Q176" s="979" t="s">
        <v>315</v>
      </c>
      <c r="R176" s="1012">
        <f>R175/R172</f>
        <v>0.1102909766</v>
      </c>
      <c r="S176" s="969">
        <v>29.94</v>
      </c>
    </row>
    <row r="177">
      <c r="I177" s="1009" t="s">
        <v>827</v>
      </c>
      <c r="J177" s="1010">
        <v>1320.0</v>
      </c>
      <c r="K177" s="1011" t="s">
        <v>828</v>
      </c>
      <c r="L177" s="5"/>
      <c r="M177" s="992">
        <f>P175+(P174*J183)</f>
        <v>0</v>
      </c>
      <c r="N177" s="1007"/>
      <c r="O177" s="1019" t="s">
        <v>829</v>
      </c>
      <c r="P177" s="994" t="s">
        <v>830</v>
      </c>
      <c r="Q177" s="1020" t="s">
        <v>831</v>
      </c>
      <c r="R177" s="5"/>
      <c r="S177" s="965"/>
    </row>
    <row r="178">
      <c r="I178" s="1022" t="s">
        <v>836</v>
      </c>
      <c r="J178" s="1010">
        <v>6.0</v>
      </c>
      <c r="K178" s="1011" t="s">
        <v>837</v>
      </c>
      <c r="L178" s="5"/>
      <c r="M178" s="992">
        <f>M177*J170+K171*K186*J170*75</f>
        <v>67704</v>
      </c>
      <c r="N178" s="1023"/>
      <c r="O178" s="1024" t="s">
        <v>395</v>
      </c>
      <c r="P178" s="1025">
        <v>436670.0</v>
      </c>
      <c r="Q178" s="979" t="s">
        <v>838</v>
      </c>
      <c r="R178" s="1002">
        <f>J170*J188*830</f>
        <v>0</v>
      </c>
      <c r="S178" s="965"/>
    </row>
    <row r="179">
      <c r="I179" s="1022" t="s">
        <v>842</v>
      </c>
      <c r="J179" s="1010">
        <f>J170</f>
        <v>31</v>
      </c>
      <c r="K179" s="1011" t="s">
        <v>843</v>
      </c>
      <c r="L179" s="5"/>
      <c r="M179" s="979" t="s">
        <v>406</v>
      </c>
      <c r="N179" s="1017" t="s">
        <v>379</v>
      </c>
      <c r="O179" s="981" t="s">
        <v>844</v>
      </c>
      <c r="P179" s="1027">
        <v>364800.0</v>
      </c>
      <c r="Q179" s="994" t="s">
        <v>299</v>
      </c>
      <c r="R179" s="1002">
        <f>J170*(K171*0.4%)*100</f>
        <v>5555.2</v>
      </c>
      <c r="S179" s="965"/>
    </row>
    <row r="180">
      <c r="I180" s="1009" t="s">
        <v>845</v>
      </c>
      <c r="J180" s="993"/>
      <c r="K180" s="1011" t="s">
        <v>846</v>
      </c>
      <c r="L180" s="5"/>
      <c r="M180" s="1002">
        <f t="shared" ref="M180:M181" si="43">J172*1.15</f>
        <v>736000</v>
      </c>
      <c r="N180" s="1032">
        <v>30000.0</v>
      </c>
      <c r="O180" s="1024" t="s">
        <v>299</v>
      </c>
      <c r="P180" s="1033">
        <f>K171*J185*J170*100</f>
        <v>208320</v>
      </c>
      <c r="Q180" s="1051" t="s">
        <v>351</v>
      </c>
      <c r="R180" s="1002">
        <f>J170*(K171*4.5%)*180</f>
        <v>112492.8</v>
      </c>
      <c r="S180" s="965"/>
    </row>
    <row r="181">
      <c r="I181" s="1009" t="s">
        <v>847</v>
      </c>
      <c r="J181" s="993"/>
      <c r="K181" s="1011" t="s">
        <v>848</v>
      </c>
      <c r="L181" s="5"/>
      <c r="M181" s="1002">
        <f t="shared" si="43"/>
        <v>621000</v>
      </c>
      <c r="N181" s="1002">
        <v>30000.0</v>
      </c>
      <c r="O181" s="1024" t="s">
        <v>350</v>
      </c>
      <c r="P181" s="1033">
        <f>K171*J186*J170*200</f>
        <v>444416</v>
      </c>
      <c r="Q181" s="979" t="s">
        <v>303</v>
      </c>
      <c r="R181" s="992">
        <f>R178+R179+R180+R182</f>
        <v>211792</v>
      </c>
      <c r="S181" s="965"/>
    </row>
    <row r="182">
      <c r="I182" s="1009" t="s">
        <v>849</v>
      </c>
      <c r="J182" s="993"/>
      <c r="K182" s="1034" t="s">
        <v>850</v>
      </c>
      <c r="L182" s="5"/>
      <c r="M182" s="1002">
        <f>(J170*4.5-21.7*4)*J174*J175</f>
        <v>411060</v>
      </c>
      <c r="N182" s="1002">
        <f>(J170*4.5-21.7*4)*J183</f>
        <v>52700</v>
      </c>
      <c r="O182" s="1035" t="s">
        <v>851</v>
      </c>
      <c r="P182" s="1033">
        <f>K171*J184*J170*100</f>
        <v>1284640</v>
      </c>
      <c r="Q182" s="1052" t="s">
        <v>350</v>
      </c>
      <c r="R182" s="1002">
        <f>J170*(K171*4.5%)*150</f>
        <v>93744</v>
      </c>
      <c r="S182" s="965"/>
    </row>
    <row r="183">
      <c r="I183" s="989" t="s">
        <v>852</v>
      </c>
      <c r="J183" s="1037">
        <v>1000.0</v>
      </c>
      <c r="K183" s="1005" t="s">
        <v>853</v>
      </c>
      <c r="L183" s="5"/>
      <c r="M183" s="1002">
        <f>J177*J178*J179</f>
        <v>245520</v>
      </c>
      <c r="N183" s="1002">
        <f>J170*J183</f>
        <v>31000</v>
      </c>
      <c r="O183" s="979" t="s">
        <v>303</v>
      </c>
      <c r="P183" s="995">
        <f>SUM(P178:P182)</f>
        <v>2738846</v>
      </c>
      <c r="Q183" s="1007"/>
      <c r="R183" s="1007"/>
      <c r="S183" s="965"/>
    </row>
    <row r="184">
      <c r="I184" s="979" t="s">
        <v>851</v>
      </c>
      <c r="J184" s="1012">
        <f>(100-J171-7.5)/100</f>
        <v>0.925</v>
      </c>
      <c r="K184" s="1005" t="s">
        <v>854</v>
      </c>
      <c r="L184" s="5"/>
      <c r="M184" s="1002">
        <f>J180*J181*J182</f>
        <v>0</v>
      </c>
      <c r="N184" s="1002">
        <f>J182*J183</f>
        <v>0</v>
      </c>
      <c r="O184" s="1007"/>
      <c r="P184" s="1007"/>
      <c r="Q184" s="1007"/>
      <c r="R184" s="1036"/>
      <c r="S184" s="965"/>
    </row>
    <row r="185">
      <c r="I185" s="989" t="s">
        <v>299</v>
      </c>
      <c r="J185" s="1012">
        <v>0.15</v>
      </c>
      <c r="K185" s="1005" t="s">
        <v>855</v>
      </c>
      <c r="L185" s="5"/>
      <c r="M185" s="1002">
        <f>SUM(M180:N181)</f>
        <v>1417000</v>
      </c>
      <c r="N185" s="1038"/>
      <c r="O185" s="1007"/>
      <c r="P185" s="1007"/>
      <c r="Q185" s="1007"/>
      <c r="R185" s="1007"/>
      <c r="S185" s="965"/>
    </row>
    <row r="186">
      <c r="I186" s="989" t="s">
        <v>350</v>
      </c>
      <c r="J186" s="1039">
        <v>0.16</v>
      </c>
      <c r="K186" s="1012">
        <v>0.065</v>
      </c>
      <c r="L186" s="965"/>
      <c r="M186" s="965"/>
      <c r="N186" s="965"/>
      <c r="O186" s="965"/>
      <c r="P186" s="965"/>
      <c r="Q186" s="965"/>
      <c r="R186" s="965"/>
      <c r="S186" s="965"/>
    </row>
    <row r="187">
      <c r="I187" s="989" t="s">
        <v>856</v>
      </c>
      <c r="J187" s="1041">
        <v>0.31</v>
      </c>
      <c r="K187" s="965"/>
      <c r="L187" s="965"/>
      <c r="M187" s="965"/>
      <c r="N187" s="965"/>
      <c r="O187" s="965"/>
      <c r="P187" s="965"/>
      <c r="Q187" s="965"/>
      <c r="R187" s="965"/>
      <c r="S187" s="965"/>
    </row>
    <row r="188">
      <c r="I188" s="989" t="s">
        <v>858</v>
      </c>
      <c r="J188" s="1043">
        <f>K172*J187</f>
        <v>0</v>
      </c>
      <c r="K188" s="965"/>
      <c r="L188" s="965"/>
      <c r="M188" s="965"/>
      <c r="N188" s="965"/>
      <c r="O188" s="965"/>
      <c r="P188" s="965"/>
      <c r="Q188" s="965"/>
      <c r="R188" s="965"/>
      <c r="S188" s="965"/>
    </row>
    <row r="190">
      <c r="I190" s="966" t="s">
        <v>783</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785</v>
      </c>
      <c r="J191" s="980">
        <f>DAY(EOMONTH(J190,0))</f>
        <v>30</v>
      </c>
      <c r="K191" s="981" t="s">
        <v>786</v>
      </c>
      <c r="L191" s="981" t="s">
        <v>317</v>
      </c>
      <c r="M191" s="981" t="s">
        <v>295</v>
      </c>
      <c r="N191" s="981" t="s">
        <v>296</v>
      </c>
      <c r="O191" s="981" t="s">
        <v>787</v>
      </c>
      <c r="P191" s="981" t="s">
        <v>788</v>
      </c>
      <c r="Q191" s="979" t="s">
        <v>789</v>
      </c>
      <c r="R191" s="982">
        <v>970.0</v>
      </c>
      <c r="S191" s="983" t="s">
        <v>451</v>
      </c>
    </row>
    <row r="192">
      <c r="I192" s="979" t="s">
        <v>317</v>
      </c>
      <c r="J192" s="980">
        <f t="array" ref="J192">xlookup(K190,$B$3:$B$14,$C$3:$C$14)*100</f>
        <v>0</v>
      </c>
      <c r="K192" s="992">
        <f>SUM(M192:O192)</f>
        <v>448</v>
      </c>
      <c r="L192" s="992">
        <v>100.0</v>
      </c>
      <c r="M192" s="982">
        <v>369.0</v>
      </c>
      <c r="N192" s="982">
        <v>79.0</v>
      </c>
      <c r="O192" s="993"/>
      <c r="P192" s="992">
        <f>K192*J191</f>
        <v>13440</v>
      </c>
      <c r="Q192" s="994" t="s">
        <v>796</v>
      </c>
      <c r="R192" s="995">
        <f>P204</f>
        <v>2246270</v>
      </c>
      <c r="S192" s="969">
        <v>435.0</v>
      </c>
    </row>
    <row r="193">
      <c r="I193" s="979" t="s">
        <v>800</v>
      </c>
      <c r="J193" s="982">
        <v>640000.0</v>
      </c>
      <c r="K193" s="992">
        <f>K192*J192%</f>
        <v>0</v>
      </c>
      <c r="L193" s="1002">
        <f>(K193-J209)/K192*100</f>
        <v>0</v>
      </c>
      <c r="M193" s="992">
        <f>M192*L193%</f>
        <v>0</v>
      </c>
      <c r="N193" s="992">
        <f>N192*L193%</f>
        <v>0</v>
      </c>
      <c r="O193" s="992">
        <f>O192*L193%</f>
        <v>0</v>
      </c>
      <c r="P193" s="992">
        <f>K193*J191</f>
        <v>0</v>
      </c>
      <c r="Q193" s="979" t="s">
        <v>318</v>
      </c>
      <c r="R193" s="995">
        <f>R191*P193+R192</f>
        <v>2246270</v>
      </c>
      <c r="S193" s="965"/>
    </row>
    <row r="194">
      <c r="I194" s="979" t="s">
        <v>804</v>
      </c>
      <c r="J194" s="1004">
        <v>540000.0</v>
      </c>
      <c r="K194" s="1005" t="s">
        <v>805</v>
      </c>
      <c r="L194" s="5"/>
      <c r="M194" s="1006">
        <f t="shared" ref="M194:O194" si="44">M190/20.5</f>
        <v>20.34146341</v>
      </c>
      <c r="N194" s="1006">
        <f t="shared" si="44"/>
        <v>23.12195122</v>
      </c>
      <c r="O194" s="1006">
        <f t="shared" si="44"/>
        <v>26.87804878</v>
      </c>
      <c r="P194" s="1007"/>
      <c r="Q194" s="979" t="s">
        <v>806</v>
      </c>
      <c r="R194" s="992">
        <f>M199+SUM(M203:N204)+R202</f>
        <v>762656</v>
      </c>
      <c r="S194" s="965"/>
    </row>
    <row r="195">
      <c r="I195" s="1009" t="s">
        <v>810</v>
      </c>
      <c r="J195" s="1010">
        <v>1300.0</v>
      </c>
      <c r="K195" s="1011" t="s">
        <v>811</v>
      </c>
      <c r="L195" s="5"/>
      <c r="M195" s="992">
        <f t="shared" ref="M195:O195" si="45">M193/(360/M194)</f>
        <v>0</v>
      </c>
      <c r="N195" s="992">
        <f t="shared" si="45"/>
        <v>0</v>
      </c>
      <c r="O195" s="992">
        <f t="shared" si="45"/>
        <v>0</v>
      </c>
      <c r="P195" s="992">
        <f t="shared" ref="P195:P196" si="46">M195+N195+O195</f>
        <v>0</v>
      </c>
      <c r="Q195" s="979" t="s">
        <v>316</v>
      </c>
      <c r="R195" s="1012">
        <f>R194/R193</f>
        <v>0.3395210727</v>
      </c>
      <c r="S195" s="1013"/>
    </row>
    <row r="196">
      <c r="I196" s="1015" t="s">
        <v>816</v>
      </c>
      <c r="J196" s="1010">
        <v>6.0</v>
      </c>
      <c r="K196" s="1016" t="s">
        <v>817</v>
      </c>
      <c r="L196" s="982">
        <v>1230.0</v>
      </c>
      <c r="M196" s="992">
        <f>M195*(L196*6)</f>
        <v>0</v>
      </c>
      <c r="N196" s="992">
        <f>N195*(L196*6)</f>
        <v>0</v>
      </c>
      <c r="O196" s="992">
        <f>O195*(L196*6)</f>
        <v>0</v>
      </c>
      <c r="P196" s="992">
        <f t="shared" si="46"/>
        <v>0</v>
      </c>
      <c r="Q196" s="979" t="s">
        <v>807</v>
      </c>
      <c r="R196" s="995">
        <f>R193-R194-M206</f>
        <v>66614</v>
      </c>
      <c r="S196" s="965"/>
    </row>
    <row r="197">
      <c r="I197" s="1017" t="s">
        <v>822</v>
      </c>
      <c r="J197" s="993"/>
      <c r="K197" s="1018"/>
      <c r="L197" s="1007"/>
      <c r="M197" s="1007"/>
      <c r="N197" s="1007"/>
      <c r="O197" s="1007"/>
      <c r="P197" s="1007"/>
      <c r="Q197" s="979" t="s">
        <v>315</v>
      </c>
      <c r="R197" s="1012">
        <f>R196/R193</f>
        <v>0.02965538426</v>
      </c>
      <c r="S197" s="969">
        <v>29.94</v>
      </c>
    </row>
    <row r="198">
      <c r="I198" s="1009" t="s">
        <v>827</v>
      </c>
      <c r="J198" s="1010">
        <v>1320.0</v>
      </c>
      <c r="K198" s="1011" t="s">
        <v>828</v>
      </c>
      <c r="L198" s="5"/>
      <c r="M198" s="992">
        <f>P196+(P195*J204)</f>
        <v>0</v>
      </c>
      <c r="N198" s="1007"/>
      <c r="O198" s="1019" t="s">
        <v>829</v>
      </c>
      <c r="P198" s="994" t="s">
        <v>830</v>
      </c>
      <c r="Q198" s="1020" t="s">
        <v>831</v>
      </c>
      <c r="R198" s="5"/>
      <c r="S198" s="965"/>
    </row>
    <row r="199">
      <c r="I199" s="1022" t="s">
        <v>836</v>
      </c>
      <c r="J199" s="1010">
        <v>6.0</v>
      </c>
      <c r="K199" s="1011" t="s">
        <v>837</v>
      </c>
      <c r="L199" s="5"/>
      <c r="M199" s="992">
        <f>M198*J191+K192*K207*J191*75</f>
        <v>65520</v>
      </c>
      <c r="N199" s="1023"/>
      <c r="O199" s="1024" t="s">
        <v>395</v>
      </c>
      <c r="P199" s="1025">
        <v>436670.0</v>
      </c>
      <c r="Q199" s="979" t="s">
        <v>838</v>
      </c>
      <c r="R199" s="1002">
        <f>J191*J209*830</f>
        <v>0</v>
      </c>
      <c r="S199" s="965"/>
    </row>
    <row r="200">
      <c r="I200" s="1022" t="s">
        <v>842</v>
      </c>
      <c r="J200" s="1010">
        <f>J191</f>
        <v>30</v>
      </c>
      <c r="K200" s="1011" t="s">
        <v>843</v>
      </c>
      <c r="L200" s="5"/>
      <c r="M200" s="979" t="s">
        <v>406</v>
      </c>
      <c r="N200" s="1017" t="s">
        <v>379</v>
      </c>
      <c r="O200" s="981" t="s">
        <v>844</v>
      </c>
      <c r="P200" s="1027">
        <v>364800.0</v>
      </c>
      <c r="Q200" s="994" t="s">
        <v>299</v>
      </c>
      <c r="R200" s="1002">
        <f>J191*(K192*0.4%)*100</f>
        <v>5376</v>
      </c>
      <c r="S200" s="965"/>
    </row>
    <row r="201">
      <c r="I201" s="1009" t="s">
        <v>845</v>
      </c>
      <c r="J201" s="993"/>
      <c r="K201" s="1011" t="s">
        <v>846</v>
      </c>
      <c r="L201" s="5"/>
      <c r="M201" s="1002">
        <f t="shared" ref="M201:M202" si="47">J193*1.15</f>
        <v>736000</v>
      </c>
      <c r="N201" s="1032">
        <v>30000.0</v>
      </c>
      <c r="O201" s="1024" t="s">
        <v>299</v>
      </c>
      <c r="P201" s="1033">
        <f>K192*J206*J191*100</f>
        <v>201600</v>
      </c>
      <c r="Q201" s="1051" t="s">
        <v>351</v>
      </c>
      <c r="R201" s="1002">
        <f>(P193*J207*27.5%)*180</f>
        <v>0</v>
      </c>
      <c r="S201" s="965"/>
    </row>
    <row r="202">
      <c r="I202" s="1009" t="s">
        <v>847</v>
      </c>
      <c r="J202" s="993"/>
      <c r="K202" s="1011" t="s">
        <v>848</v>
      </c>
      <c r="L202" s="5"/>
      <c r="M202" s="1002">
        <f t="shared" si="47"/>
        <v>621000</v>
      </c>
      <c r="N202" s="1002">
        <v>30000.0</v>
      </c>
      <c r="O202" s="1024" t="s">
        <v>350</v>
      </c>
      <c r="P202" s="1033">
        <f>P193*J207*200</f>
        <v>0</v>
      </c>
      <c r="Q202" s="979" t="s">
        <v>303</v>
      </c>
      <c r="R202" s="992">
        <f>R199+R200+R201+R203</f>
        <v>5376</v>
      </c>
      <c r="S202" s="965"/>
    </row>
    <row r="203">
      <c r="I203" s="1009" t="s">
        <v>849</v>
      </c>
      <c r="J203" s="993"/>
      <c r="K203" s="1034" t="s">
        <v>850</v>
      </c>
      <c r="L203" s="5"/>
      <c r="M203" s="1002">
        <f>(J191*4.5-21.7*4)*J195*J196</f>
        <v>375960</v>
      </c>
      <c r="N203" s="1002">
        <f>(J191*4.5-21.7*4)*J204</f>
        <v>48200</v>
      </c>
      <c r="O203" s="1035" t="s">
        <v>851</v>
      </c>
      <c r="P203" s="1033">
        <f>K192*J205*J191*100</f>
        <v>1243200</v>
      </c>
      <c r="Q203" s="1052" t="s">
        <v>350</v>
      </c>
      <c r="R203" s="1002">
        <f>(P193*J207*27.5%)*150</f>
        <v>0</v>
      </c>
      <c r="S203" s="965"/>
    </row>
    <row r="204">
      <c r="I204" s="989" t="s">
        <v>852</v>
      </c>
      <c r="J204" s="1037">
        <v>1000.0</v>
      </c>
      <c r="K204" s="1005" t="s">
        <v>853</v>
      </c>
      <c r="L204" s="5"/>
      <c r="M204" s="1002">
        <f>J198*J199*J200</f>
        <v>237600</v>
      </c>
      <c r="N204" s="1002">
        <f>J191*J204</f>
        <v>30000</v>
      </c>
      <c r="O204" s="979" t="s">
        <v>303</v>
      </c>
      <c r="P204" s="995">
        <f>SUM(P199:P203)</f>
        <v>2246270</v>
      </c>
      <c r="Q204" s="1007"/>
      <c r="R204" s="1007"/>
      <c r="S204" s="965"/>
    </row>
    <row r="205">
      <c r="I205" s="979" t="s">
        <v>851</v>
      </c>
      <c r="J205" s="1012">
        <f>(100-J192-7.5)/100</f>
        <v>0.925</v>
      </c>
      <c r="K205" s="1005" t="s">
        <v>854</v>
      </c>
      <c r="L205" s="5"/>
      <c r="M205" s="1002">
        <f>J201*J202*J203</f>
        <v>0</v>
      </c>
      <c r="N205" s="1002">
        <f>J203*J204</f>
        <v>0</v>
      </c>
      <c r="O205" s="1007"/>
      <c r="P205" s="1007"/>
      <c r="Q205" s="1007"/>
      <c r="R205" s="1036"/>
      <c r="S205" s="965"/>
    </row>
    <row r="206">
      <c r="I206" s="989" t="s">
        <v>299</v>
      </c>
      <c r="J206" s="1012">
        <v>0.15</v>
      </c>
      <c r="K206" s="1005" t="s">
        <v>855</v>
      </c>
      <c r="L206" s="5"/>
      <c r="M206" s="1002">
        <f>SUM(M201:N202)</f>
        <v>1417000</v>
      </c>
      <c r="N206" s="1038"/>
      <c r="O206" s="1007"/>
      <c r="P206" s="1007"/>
      <c r="Q206" s="1007"/>
      <c r="R206" s="1007"/>
      <c r="S206" s="965"/>
    </row>
    <row r="207">
      <c r="I207" s="989" t="s">
        <v>350</v>
      </c>
      <c r="J207" s="1053">
        <v>0.195</v>
      </c>
      <c r="K207" s="1012">
        <v>0.065</v>
      </c>
      <c r="L207" s="965"/>
      <c r="M207" s="965"/>
      <c r="N207" s="965"/>
      <c r="O207" s="965"/>
      <c r="P207" s="965"/>
      <c r="Q207" s="965"/>
      <c r="R207" s="965"/>
      <c r="S207" s="965"/>
    </row>
    <row r="208">
      <c r="I208" s="989" t="s">
        <v>856</v>
      </c>
      <c r="J208" s="1041">
        <v>0.31</v>
      </c>
      <c r="K208" s="965"/>
      <c r="L208" s="965"/>
      <c r="M208" s="965"/>
      <c r="N208" s="965"/>
      <c r="O208" s="965"/>
      <c r="P208" s="965"/>
      <c r="Q208" s="965"/>
      <c r="R208" s="965"/>
      <c r="S208" s="965"/>
    </row>
    <row r="209">
      <c r="I209" s="989" t="s">
        <v>858</v>
      </c>
      <c r="J209" s="1043">
        <f>K193*J208</f>
        <v>0</v>
      </c>
      <c r="K209" s="965"/>
      <c r="L209" s="965"/>
      <c r="M209" s="965"/>
      <c r="N209" s="965"/>
      <c r="O209" s="965"/>
      <c r="P209" s="965"/>
      <c r="Q209" s="965"/>
      <c r="R209" s="965"/>
      <c r="S209" s="965"/>
    </row>
    <row r="211">
      <c r="I211" s="966" t="s">
        <v>783</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785</v>
      </c>
      <c r="J212" s="980">
        <f>DAY(EOMONTH(J211,0))</f>
        <v>31</v>
      </c>
      <c r="K212" s="981" t="s">
        <v>786</v>
      </c>
      <c r="L212" s="981" t="s">
        <v>317</v>
      </c>
      <c r="M212" s="981" t="s">
        <v>295</v>
      </c>
      <c r="N212" s="981" t="s">
        <v>296</v>
      </c>
      <c r="O212" s="981" t="s">
        <v>787</v>
      </c>
      <c r="P212" s="981" t="s">
        <v>788</v>
      </c>
      <c r="Q212" s="979" t="s">
        <v>789</v>
      </c>
      <c r="R212" s="982">
        <v>970.0</v>
      </c>
      <c r="S212" s="983" t="s">
        <v>451</v>
      </c>
    </row>
    <row r="213">
      <c r="I213" s="979" t="s">
        <v>317</v>
      </c>
      <c r="J213" s="980">
        <f t="array" ref="J213">xlookup(K211,$B$3:$B$14,$C$3:$C$14)*100</f>
        <v>0</v>
      </c>
      <c r="K213" s="992">
        <f>SUM(M213:O213)</f>
        <v>448</v>
      </c>
      <c r="L213" s="992">
        <v>100.0</v>
      </c>
      <c r="M213" s="982">
        <v>369.0</v>
      </c>
      <c r="N213" s="982">
        <v>79.0</v>
      </c>
      <c r="O213" s="993"/>
      <c r="P213" s="992">
        <f>K213*J212</f>
        <v>13888</v>
      </c>
      <c r="Q213" s="994" t="s">
        <v>796</v>
      </c>
      <c r="R213" s="995">
        <f>P225</f>
        <v>2836062</v>
      </c>
      <c r="S213" s="969">
        <v>435.0</v>
      </c>
    </row>
    <row r="214">
      <c r="I214" s="979" t="s">
        <v>800</v>
      </c>
      <c r="J214" s="982">
        <v>640000.0</v>
      </c>
      <c r="K214" s="992">
        <f>K213*J213%</f>
        <v>0</v>
      </c>
      <c r="L214" s="1002">
        <f>(K214-J230)/K213*100</f>
        <v>0</v>
      </c>
      <c r="M214" s="992">
        <f>M213*L214%</f>
        <v>0</v>
      </c>
      <c r="N214" s="992">
        <f>N213*L214%</f>
        <v>0</v>
      </c>
      <c r="O214" s="992">
        <f>O213*L214%</f>
        <v>0</v>
      </c>
      <c r="P214" s="992">
        <f>K214*J212</f>
        <v>0</v>
      </c>
      <c r="Q214" s="979" t="s">
        <v>318</v>
      </c>
      <c r="R214" s="995">
        <f>R212*P214+R213</f>
        <v>2836062</v>
      </c>
      <c r="S214" s="965"/>
    </row>
    <row r="215">
      <c r="I215" s="979" t="s">
        <v>804</v>
      </c>
      <c r="J215" s="1004">
        <v>540000.0</v>
      </c>
      <c r="K215" s="1005" t="s">
        <v>805</v>
      </c>
      <c r="L215" s="5"/>
      <c r="M215" s="1006">
        <f t="shared" ref="M215:O215" si="48">M211/20.5</f>
        <v>20.34146341</v>
      </c>
      <c r="N215" s="1006">
        <f t="shared" si="48"/>
        <v>23.12195122</v>
      </c>
      <c r="O215" s="1006">
        <f t="shared" si="48"/>
        <v>26.87804878</v>
      </c>
      <c r="P215" s="1007"/>
      <c r="Q215" s="979" t="s">
        <v>806</v>
      </c>
      <c r="R215" s="992">
        <f>M220+SUM(M224:N225)+R223</f>
        <v>813539.2</v>
      </c>
      <c r="S215" s="965"/>
    </row>
    <row r="216">
      <c r="I216" s="1009" t="s">
        <v>810</v>
      </c>
      <c r="J216" s="1010">
        <v>1300.0</v>
      </c>
      <c r="K216" s="1011" t="s">
        <v>811</v>
      </c>
      <c r="L216" s="5"/>
      <c r="M216" s="992">
        <f t="shared" ref="M216:O216" si="49">M214/(360/M215)</f>
        <v>0</v>
      </c>
      <c r="N216" s="992">
        <f t="shared" si="49"/>
        <v>0</v>
      </c>
      <c r="O216" s="992">
        <f t="shared" si="49"/>
        <v>0</v>
      </c>
      <c r="P216" s="992">
        <f t="shared" ref="P216:P217" si="50">M216+N216+O216</f>
        <v>0</v>
      </c>
      <c r="Q216" s="979" t="s">
        <v>316</v>
      </c>
      <c r="R216" s="1012">
        <f>R215/R214</f>
        <v>0.2868552239</v>
      </c>
      <c r="S216" s="1013"/>
    </row>
    <row r="217">
      <c r="I217" s="1015" t="s">
        <v>816</v>
      </c>
      <c r="J217" s="1010">
        <v>6.0</v>
      </c>
      <c r="K217" s="1016" t="s">
        <v>817</v>
      </c>
      <c r="L217" s="982">
        <v>1230.0</v>
      </c>
      <c r="M217" s="992">
        <f>M216*(L217*6)</f>
        <v>0</v>
      </c>
      <c r="N217" s="992">
        <f>N216*(L217*6)</f>
        <v>0</v>
      </c>
      <c r="O217" s="992">
        <f>O216*(L217*6)</f>
        <v>0</v>
      </c>
      <c r="P217" s="992">
        <f t="shared" si="50"/>
        <v>0</v>
      </c>
      <c r="Q217" s="979" t="s">
        <v>807</v>
      </c>
      <c r="R217" s="995">
        <f>R214-R215-M227</f>
        <v>605522.8</v>
      </c>
      <c r="S217" s="965"/>
    </row>
    <row r="218">
      <c r="I218" s="1017" t="s">
        <v>822</v>
      </c>
      <c r="J218" s="993"/>
      <c r="K218" s="1018"/>
      <c r="L218" s="1007"/>
      <c r="M218" s="1007"/>
      <c r="N218" s="1007"/>
      <c r="O218" s="1007"/>
      <c r="P218" s="1007"/>
      <c r="Q218" s="979" t="s">
        <v>315</v>
      </c>
      <c r="R218" s="1012">
        <f>R217/R214</f>
        <v>0.2135083084</v>
      </c>
      <c r="S218" s="969">
        <v>29.94</v>
      </c>
    </row>
    <row r="219">
      <c r="I219" s="1009" t="s">
        <v>827</v>
      </c>
      <c r="J219" s="1010">
        <v>1320.0</v>
      </c>
      <c r="K219" s="1011" t="s">
        <v>828</v>
      </c>
      <c r="L219" s="5"/>
      <c r="M219" s="992">
        <f>P217+(P216*J225)</f>
        <v>0</v>
      </c>
      <c r="N219" s="1007"/>
      <c r="O219" s="1019" t="s">
        <v>829</v>
      </c>
      <c r="P219" s="994" t="s">
        <v>830</v>
      </c>
      <c r="Q219" s="1020" t="s">
        <v>831</v>
      </c>
      <c r="R219" s="5"/>
      <c r="S219" s="965"/>
    </row>
    <row r="220">
      <c r="I220" s="1022" t="s">
        <v>836</v>
      </c>
      <c r="J220" s="1010">
        <v>6.0</v>
      </c>
      <c r="K220" s="1011" t="s">
        <v>837</v>
      </c>
      <c r="L220" s="5"/>
      <c r="M220" s="992">
        <f>M219*J212+K213*K228*J212*75</f>
        <v>67704</v>
      </c>
      <c r="N220" s="1023"/>
      <c r="O220" s="1024" t="s">
        <v>395</v>
      </c>
      <c r="P220" s="1025">
        <v>436670.0</v>
      </c>
      <c r="Q220" s="979" t="s">
        <v>838</v>
      </c>
      <c r="R220" s="1002">
        <f>J212*J230*830</f>
        <v>0</v>
      </c>
      <c r="S220" s="965"/>
    </row>
    <row r="221">
      <c r="I221" s="1022" t="s">
        <v>842</v>
      </c>
      <c r="J221" s="1010">
        <f>J212</f>
        <v>31</v>
      </c>
      <c r="K221" s="1011" t="s">
        <v>843</v>
      </c>
      <c r="L221" s="5"/>
      <c r="M221" s="979" t="s">
        <v>406</v>
      </c>
      <c r="N221" s="1017" t="s">
        <v>379</v>
      </c>
      <c r="O221" s="981" t="s">
        <v>844</v>
      </c>
      <c r="P221" s="1027">
        <v>364800.0</v>
      </c>
      <c r="Q221" s="994" t="s">
        <v>299</v>
      </c>
      <c r="R221" s="1002">
        <f>J212*(K213*0.4%)*100</f>
        <v>5555.2</v>
      </c>
      <c r="S221" s="965"/>
    </row>
    <row r="222">
      <c r="I222" s="1009" t="s">
        <v>845</v>
      </c>
      <c r="J222" s="993"/>
      <c r="K222" s="1011" t="s">
        <v>846</v>
      </c>
      <c r="L222" s="5"/>
      <c r="M222" s="1002">
        <f t="shared" ref="M222:M223" si="51">J214*1.15</f>
        <v>736000</v>
      </c>
      <c r="N222" s="1032">
        <v>30000.0</v>
      </c>
      <c r="O222" s="1024" t="s">
        <v>299</v>
      </c>
      <c r="P222" s="1033">
        <f>K213*J227*J212*100</f>
        <v>208320</v>
      </c>
      <c r="Q222" s="1051" t="s">
        <v>351</v>
      </c>
      <c r="R222" s="1002">
        <f>(P214*J228*27.5%)*180</f>
        <v>0</v>
      </c>
      <c r="S222" s="965"/>
    </row>
    <row r="223">
      <c r="I223" s="1009" t="s">
        <v>847</v>
      </c>
      <c r="J223" s="993"/>
      <c r="K223" s="1011" t="s">
        <v>848</v>
      </c>
      <c r="L223" s="5"/>
      <c r="M223" s="1002">
        <f t="shared" si="51"/>
        <v>621000</v>
      </c>
      <c r="N223" s="1002">
        <v>30000.0</v>
      </c>
      <c r="O223" s="1024" t="s">
        <v>350</v>
      </c>
      <c r="P223" s="1033">
        <f>K213*J228*J212*200</f>
        <v>541632</v>
      </c>
      <c r="Q223" s="979" t="s">
        <v>303</v>
      </c>
      <c r="R223" s="992">
        <f>R220+R221+R222+R224</f>
        <v>5555.2</v>
      </c>
      <c r="S223" s="965"/>
    </row>
    <row r="224">
      <c r="I224" s="1009" t="s">
        <v>849</v>
      </c>
      <c r="J224" s="993"/>
      <c r="K224" s="1034" t="s">
        <v>850</v>
      </c>
      <c r="L224" s="5"/>
      <c r="M224" s="1002">
        <f>(J212*4.5-21.7*4)*J216*J217</f>
        <v>411060</v>
      </c>
      <c r="N224" s="1002">
        <f>(J212*4.5-21.7*4)*J225</f>
        <v>52700</v>
      </c>
      <c r="O224" s="1035" t="s">
        <v>851</v>
      </c>
      <c r="P224" s="1033">
        <f>K213*J226*J212*100</f>
        <v>1284640</v>
      </c>
      <c r="Q224" s="1052" t="s">
        <v>350</v>
      </c>
      <c r="R224" s="1002">
        <f>(P214*J228*27.5%)*150</f>
        <v>0</v>
      </c>
      <c r="S224" s="965"/>
    </row>
    <row r="225">
      <c r="I225" s="989" t="s">
        <v>852</v>
      </c>
      <c r="J225" s="1037">
        <v>1000.0</v>
      </c>
      <c r="K225" s="1005" t="s">
        <v>853</v>
      </c>
      <c r="L225" s="5"/>
      <c r="M225" s="1002">
        <f>J219*J220*J221</f>
        <v>245520</v>
      </c>
      <c r="N225" s="1002">
        <f>J212*J225</f>
        <v>31000</v>
      </c>
      <c r="O225" s="979" t="s">
        <v>303</v>
      </c>
      <c r="P225" s="995">
        <f>SUM(P220:P224)</f>
        <v>2836062</v>
      </c>
      <c r="Q225" s="1007"/>
      <c r="R225" s="1007"/>
      <c r="S225" s="965"/>
    </row>
    <row r="226">
      <c r="I226" s="979" t="s">
        <v>851</v>
      </c>
      <c r="J226" s="1012">
        <f>(100-J213-7.5)/100</f>
        <v>0.925</v>
      </c>
      <c r="K226" s="1005" t="s">
        <v>854</v>
      </c>
      <c r="L226" s="5"/>
      <c r="M226" s="1002">
        <f>J222*J223*J224</f>
        <v>0</v>
      </c>
      <c r="N226" s="1002">
        <f>J224*J225</f>
        <v>0</v>
      </c>
      <c r="O226" s="1007"/>
      <c r="P226" s="1007"/>
      <c r="Q226" s="1007"/>
      <c r="R226" s="1036"/>
      <c r="S226" s="965"/>
    </row>
    <row r="227">
      <c r="I227" s="989" t="s">
        <v>299</v>
      </c>
      <c r="J227" s="1012">
        <v>0.15</v>
      </c>
      <c r="K227" s="1005" t="s">
        <v>855</v>
      </c>
      <c r="L227" s="5"/>
      <c r="M227" s="1002">
        <f>SUM(M222:N223)</f>
        <v>1417000</v>
      </c>
      <c r="N227" s="1038"/>
      <c r="O227" s="1007"/>
      <c r="P227" s="1007"/>
      <c r="Q227" s="1007"/>
      <c r="R227" s="1007"/>
      <c r="S227" s="965"/>
    </row>
    <row r="228">
      <c r="I228" s="989" t="s">
        <v>350</v>
      </c>
      <c r="J228" s="1054">
        <v>0.195</v>
      </c>
      <c r="K228" s="1012">
        <v>0.065</v>
      </c>
      <c r="L228" s="965"/>
      <c r="M228" s="965"/>
      <c r="N228" s="965"/>
      <c r="O228" s="965"/>
      <c r="P228" s="965"/>
      <c r="Q228" s="965"/>
      <c r="R228" s="965"/>
      <c r="S228" s="965"/>
    </row>
    <row r="229">
      <c r="I229" s="989" t="s">
        <v>856</v>
      </c>
      <c r="J229" s="1041">
        <v>0.31</v>
      </c>
      <c r="K229" s="965"/>
      <c r="L229" s="965"/>
      <c r="M229" s="965"/>
      <c r="N229" s="965"/>
      <c r="O229" s="965"/>
      <c r="P229" s="965"/>
      <c r="Q229" s="965"/>
      <c r="R229" s="965"/>
      <c r="S229" s="965"/>
    </row>
    <row r="230">
      <c r="I230" s="989" t="s">
        <v>858</v>
      </c>
      <c r="J230" s="1043">
        <f>K214*J229</f>
        <v>0</v>
      </c>
      <c r="K230" s="965"/>
      <c r="L230" s="965"/>
      <c r="M230" s="965"/>
      <c r="N230" s="965"/>
      <c r="O230" s="965"/>
      <c r="P230" s="965"/>
      <c r="Q230" s="965"/>
      <c r="R230" s="965"/>
      <c r="S230" s="965"/>
    </row>
    <row r="232">
      <c r="I232" s="966" t="s">
        <v>783</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785</v>
      </c>
      <c r="J233" s="980">
        <f>DAY(EOMONTH(J232,0))</f>
        <v>31</v>
      </c>
      <c r="K233" s="981" t="s">
        <v>786</v>
      </c>
      <c r="L233" s="981" t="s">
        <v>317</v>
      </c>
      <c r="M233" s="981" t="s">
        <v>295</v>
      </c>
      <c r="N233" s="981" t="s">
        <v>296</v>
      </c>
      <c r="O233" s="981" t="s">
        <v>787</v>
      </c>
      <c r="P233" s="981" t="s">
        <v>788</v>
      </c>
      <c r="Q233" s="979" t="s">
        <v>789</v>
      </c>
      <c r="R233" s="982">
        <v>970.0</v>
      </c>
      <c r="S233" s="983" t="s">
        <v>451</v>
      </c>
    </row>
    <row r="234">
      <c r="I234" s="979" t="s">
        <v>317</v>
      </c>
      <c r="J234" s="980">
        <f t="array" ref="J234">xlookup(K232,$B$3:$B$14,$C$3:$C$14)*100</f>
        <v>0</v>
      </c>
      <c r="K234" s="992">
        <f>SUM(M234:O234)</f>
        <v>448</v>
      </c>
      <c r="L234" s="992">
        <v>100.0</v>
      </c>
      <c r="M234" s="982">
        <v>369.0</v>
      </c>
      <c r="N234" s="982">
        <v>79.0</v>
      </c>
      <c r="O234" s="993"/>
      <c r="P234" s="992">
        <f>K234*J233</f>
        <v>13888</v>
      </c>
      <c r="Q234" s="994" t="s">
        <v>796</v>
      </c>
      <c r="R234" s="995">
        <f>P246</f>
        <v>2738846</v>
      </c>
      <c r="S234" s="969">
        <v>435.0</v>
      </c>
    </row>
    <row r="235">
      <c r="I235" s="979" t="s">
        <v>800</v>
      </c>
      <c r="J235" s="982">
        <v>640000.0</v>
      </c>
      <c r="K235" s="992">
        <f>K234*J234%</f>
        <v>0</v>
      </c>
      <c r="L235" s="1002">
        <f>(K235-J251)/K234*100</f>
        <v>0</v>
      </c>
      <c r="M235" s="992">
        <f>M234*L235%</f>
        <v>0</v>
      </c>
      <c r="N235" s="992">
        <f>N234*L235%</f>
        <v>0</v>
      </c>
      <c r="O235" s="992">
        <f>O234*L235%</f>
        <v>0</v>
      </c>
      <c r="P235" s="992">
        <f>K235*J233</f>
        <v>0</v>
      </c>
      <c r="Q235" s="979" t="s">
        <v>318</v>
      </c>
      <c r="R235" s="995">
        <f>R233*P235+R234</f>
        <v>2738846</v>
      </c>
      <c r="S235" s="965"/>
    </row>
    <row r="236">
      <c r="I236" s="979" t="s">
        <v>804</v>
      </c>
      <c r="J236" s="1004">
        <v>540000.0</v>
      </c>
      <c r="K236" s="1005" t="s">
        <v>805</v>
      </c>
      <c r="L236" s="5"/>
      <c r="M236" s="1006">
        <f t="shared" ref="M236:O236" si="52">M232/20.5</f>
        <v>20.34146341</v>
      </c>
      <c r="N236" s="1006">
        <f t="shared" si="52"/>
        <v>23.12195122</v>
      </c>
      <c r="O236" s="1006">
        <f t="shared" si="52"/>
        <v>26.87804878</v>
      </c>
      <c r="P236" s="1007"/>
      <c r="Q236" s="979" t="s">
        <v>806</v>
      </c>
      <c r="R236" s="992">
        <f>M241+SUM(M245:N246)+R244</f>
        <v>813539.2</v>
      </c>
      <c r="S236" s="965"/>
    </row>
    <row r="237">
      <c r="I237" s="1009" t="s">
        <v>810</v>
      </c>
      <c r="J237" s="1010">
        <v>1300.0</v>
      </c>
      <c r="K237" s="1011" t="s">
        <v>811</v>
      </c>
      <c r="L237" s="5"/>
      <c r="M237" s="992">
        <f t="shared" ref="M237:O237" si="53">M235/(360/M236)</f>
        <v>0</v>
      </c>
      <c r="N237" s="992">
        <f t="shared" si="53"/>
        <v>0</v>
      </c>
      <c r="O237" s="992">
        <f t="shared" si="53"/>
        <v>0</v>
      </c>
      <c r="P237" s="992">
        <f t="shared" ref="P237:P238" si="54">M237+N237+O237</f>
        <v>0</v>
      </c>
      <c r="Q237" s="979" t="s">
        <v>316</v>
      </c>
      <c r="R237" s="1012">
        <f>R236/R235</f>
        <v>0.2970372193</v>
      </c>
      <c r="S237" s="1013"/>
    </row>
    <row r="238">
      <c r="I238" s="1015" t="s">
        <v>816</v>
      </c>
      <c r="J238" s="1010">
        <v>6.0</v>
      </c>
      <c r="K238" s="1016" t="s">
        <v>817</v>
      </c>
      <c r="L238" s="982">
        <v>1230.0</v>
      </c>
      <c r="M238" s="992">
        <f>M237*(L238*6)</f>
        <v>0</v>
      </c>
      <c r="N238" s="992">
        <f>N237*(L238*6)</f>
        <v>0</v>
      </c>
      <c r="O238" s="992">
        <f>O237*(L238*6)</f>
        <v>0</v>
      </c>
      <c r="P238" s="992">
        <f t="shared" si="54"/>
        <v>0</v>
      </c>
      <c r="Q238" s="979" t="s">
        <v>807</v>
      </c>
      <c r="R238" s="995">
        <f>R235-R236-M248</f>
        <v>508306.8</v>
      </c>
      <c r="S238" s="965"/>
    </row>
    <row r="239">
      <c r="I239" s="1017" t="s">
        <v>822</v>
      </c>
      <c r="J239" s="993"/>
      <c r="K239" s="1018"/>
      <c r="L239" s="1007"/>
      <c r="M239" s="1007"/>
      <c r="N239" s="1007"/>
      <c r="O239" s="1007"/>
      <c r="P239" s="1007"/>
      <c r="Q239" s="979" t="s">
        <v>315</v>
      </c>
      <c r="R239" s="1012">
        <f>R238/R235</f>
        <v>0.1855915959</v>
      </c>
      <c r="S239" s="969">
        <v>29.94</v>
      </c>
    </row>
    <row r="240">
      <c r="I240" s="1009" t="s">
        <v>827</v>
      </c>
      <c r="J240" s="1010">
        <v>1320.0</v>
      </c>
      <c r="K240" s="1011" t="s">
        <v>828</v>
      </c>
      <c r="L240" s="5"/>
      <c r="M240" s="992">
        <f>P238+(P237*J246)</f>
        <v>0</v>
      </c>
      <c r="N240" s="1007"/>
      <c r="O240" s="1019" t="s">
        <v>829</v>
      </c>
      <c r="P240" s="994" t="s">
        <v>830</v>
      </c>
      <c r="Q240" s="1020" t="s">
        <v>831</v>
      </c>
      <c r="R240" s="5"/>
      <c r="S240" s="965"/>
    </row>
    <row r="241">
      <c r="I241" s="1022" t="s">
        <v>836</v>
      </c>
      <c r="J241" s="1010">
        <v>6.0</v>
      </c>
      <c r="K241" s="1011" t="s">
        <v>837</v>
      </c>
      <c r="L241" s="5"/>
      <c r="M241" s="992">
        <f>M240*J233+K234*K249*J233*75</f>
        <v>67704</v>
      </c>
      <c r="N241" s="1023"/>
      <c r="O241" s="1024" t="s">
        <v>395</v>
      </c>
      <c r="P241" s="1025">
        <v>436670.0</v>
      </c>
      <c r="Q241" s="979" t="s">
        <v>838</v>
      </c>
      <c r="R241" s="1002">
        <f>J233*J251*830</f>
        <v>0</v>
      </c>
      <c r="S241" s="965"/>
    </row>
    <row r="242">
      <c r="I242" s="1022" t="s">
        <v>842</v>
      </c>
      <c r="J242" s="1010">
        <f>J233</f>
        <v>31</v>
      </c>
      <c r="K242" s="1011" t="s">
        <v>843</v>
      </c>
      <c r="L242" s="5"/>
      <c r="M242" s="979" t="s">
        <v>406</v>
      </c>
      <c r="N242" s="1017" t="s">
        <v>379</v>
      </c>
      <c r="O242" s="981" t="s">
        <v>844</v>
      </c>
      <c r="P242" s="1027">
        <v>364800.0</v>
      </c>
      <c r="Q242" s="994" t="s">
        <v>299</v>
      </c>
      <c r="R242" s="1002">
        <f>J233*(K234*0.4%)*100</f>
        <v>5555.2</v>
      </c>
      <c r="S242" s="965"/>
    </row>
    <row r="243">
      <c r="I243" s="1009" t="s">
        <v>845</v>
      </c>
      <c r="J243" s="993"/>
      <c r="K243" s="1011" t="s">
        <v>846</v>
      </c>
      <c r="L243" s="5"/>
      <c r="M243" s="1002">
        <f t="shared" ref="M243:M244" si="55">J235*1.15</f>
        <v>736000</v>
      </c>
      <c r="N243" s="1032">
        <v>30000.0</v>
      </c>
      <c r="O243" s="1024" t="s">
        <v>299</v>
      </c>
      <c r="P243" s="1033">
        <f>K234*J248*J233*100</f>
        <v>208320</v>
      </c>
      <c r="Q243" s="1051" t="s">
        <v>351</v>
      </c>
      <c r="R243" s="1002">
        <f>(P235*J249*27.5%)*180</f>
        <v>0</v>
      </c>
      <c r="S243" s="965"/>
    </row>
    <row r="244">
      <c r="I244" s="1009" t="s">
        <v>847</v>
      </c>
      <c r="J244" s="993"/>
      <c r="K244" s="1011" t="s">
        <v>848</v>
      </c>
      <c r="L244" s="5"/>
      <c r="M244" s="1002">
        <f t="shared" si="55"/>
        <v>621000</v>
      </c>
      <c r="N244" s="1002">
        <v>30000.0</v>
      </c>
      <c r="O244" s="1024" t="s">
        <v>350</v>
      </c>
      <c r="P244" s="1033">
        <f>K234*J249*J233*200</f>
        <v>444416</v>
      </c>
      <c r="Q244" s="979" t="s">
        <v>303</v>
      </c>
      <c r="R244" s="992">
        <f>R241+R242+R243+R245</f>
        <v>5555.2</v>
      </c>
      <c r="S244" s="965"/>
    </row>
    <row r="245">
      <c r="I245" s="1009" t="s">
        <v>849</v>
      </c>
      <c r="J245" s="993"/>
      <c r="K245" s="1034" t="s">
        <v>850</v>
      </c>
      <c r="L245" s="5"/>
      <c r="M245" s="1002">
        <f>(J233*4.5-21.7*4)*J237*J238</f>
        <v>411060</v>
      </c>
      <c r="N245" s="1002">
        <f>(J233*4.5-21.7*4)*J246</f>
        <v>52700</v>
      </c>
      <c r="O245" s="1035" t="s">
        <v>851</v>
      </c>
      <c r="P245" s="1033">
        <f>K234*J247*J233*100</f>
        <v>1284640</v>
      </c>
      <c r="Q245" s="1052" t="s">
        <v>350</v>
      </c>
      <c r="R245" s="1002">
        <f>(P235*J249*27.5%)*150</f>
        <v>0</v>
      </c>
      <c r="S245" s="965"/>
    </row>
    <row r="246">
      <c r="I246" s="989" t="s">
        <v>852</v>
      </c>
      <c r="J246" s="1037">
        <v>1000.0</v>
      </c>
      <c r="K246" s="1005" t="s">
        <v>853</v>
      </c>
      <c r="L246" s="5"/>
      <c r="M246" s="1002">
        <f>J240*J241*J242</f>
        <v>245520</v>
      </c>
      <c r="N246" s="1002">
        <f>J233*J246</f>
        <v>31000</v>
      </c>
      <c r="O246" s="979" t="s">
        <v>303</v>
      </c>
      <c r="P246" s="995">
        <f>SUM(P241:P245)</f>
        <v>2738846</v>
      </c>
      <c r="Q246" s="1007"/>
      <c r="R246" s="1007"/>
      <c r="S246" s="965"/>
    </row>
    <row r="247">
      <c r="I247" s="979" t="s">
        <v>851</v>
      </c>
      <c r="J247" s="1012">
        <f>(100-J234-7.5)/100</f>
        <v>0.925</v>
      </c>
      <c r="K247" s="1005" t="s">
        <v>854</v>
      </c>
      <c r="L247" s="5"/>
      <c r="M247" s="1002">
        <f>J243*J244*J245</f>
        <v>0</v>
      </c>
      <c r="N247" s="1002">
        <f>J245*J246</f>
        <v>0</v>
      </c>
      <c r="O247" s="1007"/>
      <c r="P247" s="1007"/>
      <c r="Q247" s="1007"/>
      <c r="R247" s="1036"/>
      <c r="S247" s="965"/>
    </row>
    <row r="248">
      <c r="I248" s="989" t="s">
        <v>299</v>
      </c>
      <c r="J248" s="1012">
        <v>0.15</v>
      </c>
      <c r="K248" s="1005" t="s">
        <v>855</v>
      </c>
      <c r="L248" s="5"/>
      <c r="M248" s="1002">
        <f>SUM(M243:N244)</f>
        <v>1417000</v>
      </c>
      <c r="N248" s="1038"/>
      <c r="O248" s="1007"/>
      <c r="P248" s="1007"/>
      <c r="Q248" s="1007"/>
      <c r="R248" s="1007"/>
      <c r="S248" s="965"/>
    </row>
    <row r="249">
      <c r="I249" s="989" t="s">
        <v>350</v>
      </c>
      <c r="J249" s="1039">
        <v>0.16</v>
      </c>
      <c r="K249" s="1012">
        <v>0.065</v>
      </c>
      <c r="L249" s="965"/>
      <c r="M249" s="965"/>
      <c r="N249" s="965"/>
      <c r="O249" s="965"/>
      <c r="P249" s="965"/>
      <c r="Q249" s="965"/>
      <c r="R249" s="965"/>
      <c r="S249" s="965"/>
    </row>
    <row r="250">
      <c r="I250" s="989" t="s">
        <v>856</v>
      </c>
      <c r="J250" s="1041">
        <v>0.31</v>
      </c>
      <c r="K250" s="965"/>
      <c r="L250" s="965"/>
      <c r="M250" s="965"/>
      <c r="N250" s="965"/>
      <c r="O250" s="965"/>
      <c r="P250" s="965"/>
      <c r="Q250" s="965"/>
      <c r="R250" s="965"/>
      <c r="S250" s="965"/>
    </row>
    <row r="251">
      <c r="I251" s="989" t="s">
        <v>858</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867</v>
      </c>
      <c r="C1" s="1056"/>
      <c r="D1" s="1056"/>
      <c r="E1" s="188"/>
      <c r="F1" s="1057" t="s">
        <v>868</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869</v>
      </c>
      <c r="C2" s="188"/>
      <c r="D2" s="188"/>
      <c r="E2" s="188"/>
      <c r="F2" s="1067"/>
      <c r="G2" s="188"/>
      <c r="H2" s="1058"/>
      <c r="I2" s="188"/>
      <c r="J2" s="188"/>
      <c r="K2" s="188"/>
      <c r="L2" s="188"/>
      <c r="M2" s="188"/>
      <c r="N2" s="188"/>
      <c r="O2" s="1059"/>
      <c r="P2" s="1068">
        <f>month(P3)</f>
        <v>2</v>
      </c>
      <c r="Q2" s="1069" t="s">
        <v>870</v>
      </c>
      <c r="R2" s="1070" t="s">
        <v>871</v>
      </c>
      <c r="S2" s="1071" t="s">
        <v>872</v>
      </c>
      <c r="T2" s="1071" t="s">
        <v>873</v>
      </c>
      <c r="U2" s="1071" t="s">
        <v>874</v>
      </c>
      <c r="V2" s="1072" t="s">
        <v>875</v>
      </c>
      <c r="W2" s="1071" t="s">
        <v>876</v>
      </c>
      <c r="X2" s="1071" t="s">
        <v>877</v>
      </c>
      <c r="Y2" s="1068"/>
      <c r="Z2" s="1068">
        <f>month(Z3)</f>
        <v>3</v>
      </c>
      <c r="AA2" s="1069" t="s">
        <v>870</v>
      </c>
      <c r="AB2" s="1070" t="s">
        <v>871</v>
      </c>
      <c r="AC2" s="1071" t="s">
        <v>872</v>
      </c>
      <c r="AD2" s="1071" t="s">
        <v>873</v>
      </c>
      <c r="AE2" s="1071" t="s">
        <v>874</v>
      </c>
      <c r="AF2" s="1072" t="s">
        <v>878</v>
      </c>
      <c r="AG2" s="1071" t="s">
        <v>876</v>
      </c>
      <c r="AH2" s="1071" t="s">
        <v>877</v>
      </c>
      <c r="AI2" s="1068"/>
      <c r="AJ2" s="1068">
        <f>month(AJ3)</f>
        <v>4</v>
      </c>
      <c r="AK2" s="1069" t="s">
        <v>870</v>
      </c>
      <c r="AL2" s="1070" t="s">
        <v>871</v>
      </c>
      <c r="AM2" s="1071" t="s">
        <v>872</v>
      </c>
      <c r="AN2" s="1071" t="s">
        <v>873</v>
      </c>
      <c r="AO2" s="1071" t="s">
        <v>874</v>
      </c>
      <c r="AP2" s="1072" t="s">
        <v>879</v>
      </c>
      <c r="AQ2" s="1071" t="s">
        <v>876</v>
      </c>
      <c r="AR2" s="1071" t="s">
        <v>877</v>
      </c>
      <c r="AS2" s="1071"/>
      <c r="AT2" s="1068">
        <f>month(AT3)</f>
        <v>5</v>
      </c>
      <c r="AU2" s="1073" t="s">
        <v>870</v>
      </c>
      <c r="AV2" s="1074" t="s">
        <v>871</v>
      </c>
      <c r="AW2" s="1075" t="s">
        <v>872</v>
      </c>
      <c r="AX2" s="1075" t="s">
        <v>873</v>
      </c>
      <c r="AY2" s="1075" t="s">
        <v>874</v>
      </c>
      <c r="AZ2" s="1076" t="s">
        <v>880</v>
      </c>
      <c r="BA2" s="1075" t="s">
        <v>876</v>
      </c>
      <c r="BB2" s="1075" t="s">
        <v>877</v>
      </c>
      <c r="BC2" s="1068"/>
      <c r="BD2" s="1068">
        <f>month(BD3)</f>
        <v>6</v>
      </c>
      <c r="BE2" s="1069" t="s">
        <v>870</v>
      </c>
      <c r="BF2" s="1070" t="s">
        <v>871</v>
      </c>
      <c r="BG2" s="1071" t="s">
        <v>872</v>
      </c>
      <c r="BH2" s="1071" t="s">
        <v>873</v>
      </c>
      <c r="BI2" s="1071" t="s">
        <v>874</v>
      </c>
      <c r="BJ2" s="1072" t="s">
        <v>881</v>
      </c>
      <c r="BK2" s="1071" t="s">
        <v>876</v>
      </c>
      <c r="BL2" s="1071" t="s">
        <v>877</v>
      </c>
      <c r="BM2" s="1068"/>
      <c r="BN2" s="1068">
        <f>month(BN3)</f>
        <v>7</v>
      </c>
      <c r="BO2" s="1069" t="s">
        <v>870</v>
      </c>
      <c r="BP2" s="1070" t="s">
        <v>871</v>
      </c>
      <c r="BQ2" s="1071" t="s">
        <v>872</v>
      </c>
      <c r="BR2" s="1071" t="s">
        <v>873</v>
      </c>
      <c r="BS2" s="1071" t="s">
        <v>874</v>
      </c>
      <c r="BT2" s="1072" t="s">
        <v>882</v>
      </c>
      <c r="BU2" s="1071" t="s">
        <v>876</v>
      </c>
      <c r="BV2" s="1071" t="s">
        <v>877</v>
      </c>
      <c r="BW2" s="1071"/>
      <c r="BX2" s="1068">
        <f>month(BX3)</f>
        <v>8</v>
      </c>
      <c r="BY2" s="1069" t="s">
        <v>870</v>
      </c>
      <c r="BZ2" s="1070" t="s">
        <v>871</v>
      </c>
      <c r="CA2" s="1071" t="s">
        <v>872</v>
      </c>
      <c r="CB2" s="1071" t="s">
        <v>873</v>
      </c>
      <c r="CC2" s="1071" t="s">
        <v>874</v>
      </c>
      <c r="CD2" s="1072" t="s">
        <v>883</v>
      </c>
      <c r="CE2" s="1071" t="s">
        <v>876</v>
      </c>
      <c r="CF2" s="1071" t="s">
        <v>877</v>
      </c>
      <c r="CG2" s="1068"/>
      <c r="CH2" s="1068">
        <f>month(CH3)</f>
        <v>9</v>
      </c>
      <c r="CI2" s="1069" t="s">
        <v>870</v>
      </c>
      <c r="CJ2" s="1070" t="s">
        <v>871</v>
      </c>
      <c r="CK2" s="1071" t="s">
        <v>872</v>
      </c>
      <c r="CL2" s="1071" t="s">
        <v>873</v>
      </c>
      <c r="CM2" s="1071" t="s">
        <v>874</v>
      </c>
      <c r="CN2" s="1072" t="s">
        <v>884</v>
      </c>
      <c r="CO2" s="1071" t="s">
        <v>876</v>
      </c>
      <c r="CP2" s="1071" t="s">
        <v>877</v>
      </c>
      <c r="CQ2" s="1068"/>
      <c r="CR2" s="1068">
        <f>month(CR3)</f>
        <v>10</v>
      </c>
      <c r="CS2" s="1069" t="s">
        <v>870</v>
      </c>
      <c r="CT2" s="1070" t="s">
        <v>871</v>
      </c>
      <c r="CU2" s="1071" t="s">
        <v>872</v>
      </c>
      <c r="CV2" s="1071" t="s">
        <v>873</v>
      </c>
      <c r="CW2" s="1071" t="s">
        <v>874</v>
      </c>
      <c r="CX2" s="1072" t="s">
        <v>885</v>
      </c>
      <c r="CY2" s="1071" t="s">
        <v>876</v>
      </c>
      <c r="CZ2" s="1071" t="s">
        <v>877</v>
      </c>
      <c r="DA2" s="1071"/>
      <c r="DB2" s="1068">
        <f>month(DB3)</f>
        <v>11</v>
      </c>
      <c r="DC2" s="1069" t="s">
        <v>870</v>
      </c>
      <c r="DD2" s="1070" t="s">
        <v>871</v>
      </c>
      <c r="DE2" s="1071" t="s">
        <v>872</v>
      </c>
      <c r="DF2" s="1071" t="s">
        <v>873</v>
      </c>
      <c r="DG2" s="1071" t="s">
        <v>874</v>
      </c>
      <c r="DH2" s="1072" t="s">
        <v>886</v>
      </c>
      <c r="DI2" s="1071" t="s">
        <v>876</v>
      </c>
      <c r="DJ2" s="1071" t="s">
        <v>877</v>
      </c>
      <c r="DK2" s="1068"/>
      <c r="DL2" s="1068">
        <f>month(DL3)</f>
        <v>12</v>
      </c>
      <c r="DM2" s="1069" t="s">
        <v>870</v>
      </c>
      <c r="DN2" s="1070" t="s">
        <v>871</v>
      </c>
      <c r="DO2" s="1071" t="s">
        <v>872</v>
      </c>
      <c r="DP2" s="1071" t="s">
        <v>873</v>
      </c>
      <c r="DQ2" s="1071" t="s">
        <v>874</v>
      </c>
      <c r="DR2" s="1072" t="s">
        <v>887</v>
      </c>
      <c r="DS2" s="1071" t="s">
        <v>876</v>
      </c>
      <c r="DT2" s="1071" t="s">
        <v>877</v>
      </c>
      <c r="DU2" s="1068"/>
      <c r="DV2" s="1068">
        <f>month(DV3)</f>
        <v>1</v>
      </c>
      <c r="DW2" s="1069" t="s">
        <v>870</v>
      </c>
      <c r="DX2" s="1070" t="s">
        <v>871</v>
      </c>
      <c r="DY2" s="1071" t="s">
        <v>872</v>
      </c>
      <c r="DZ2" s="1071" t="s">
        <v>873</v>
      </c>
      <c r="EA2" s="1071" t="s">
        <v>874</v>
      </c>
      <c r="EB2" s="1072" t="s">
        <v>888</v>
      </c>
      <c r="EC2" s="1071" t="s">
        <v>876</v>
      </c>
      <c r="ED2" s="1071" t="s">
        <v>877</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889</v>
      </c>
      <c r="D3" s="1082" t="s">
        <v>572</v>
      </c>
      <c r="E3" s="1082" t="s">
        <v>890</v>
      </c>
      <c r="F3" s="1083" t="s">
        <v>891</v>
      </c>
      <c r="G3" s="1084" t="s">
        <v>892</v>
      </c>
      <c r="H3" s="1085" t="s">
        <v>893</v>
      </c>
      <c r="I3" s="1082" t="s">
        <v>894</v>
      </c>
      <c r="J3" s="1082" t="s">
        <v>895</v>
      </c>
      <c r="K3" s="188"/>
      <c r="L3" s="1086" t="s">
        <v>96</v>
      </c>
      <c r="M3" s="1086" t="s">
        <v>541</v>
      </c>
      <c r="N3" s="188"/>
      <c r="O3" s="1059"/>
      <c r="P3" s="1087">
        <v>46054.0</v>
      </c>
      <c r="Q3" s="1088" t="s">
        <v>80</v>
      </c>
      <c r="R3" s="1089" t="s">
        <v>889</v>
      </c>
      <c r="S3" s="1088" t="s">
        <v>572</v>
      </c>
      <c r="T3" s="1088" t="s">
        <v>896</v>
      </c>
      <c r="U3" s="1088" t="s">
        <v>897</v>
      </c>
      <c r="V3" s="1088" t="s">
        <v>898</v>
      </c>
      <c r="W3" s="1088" t="s">
        <v>899</v>
      </c>
      <c r="X3" s="1088" t="s">
        <v>900</v>
      </c>
      <c r="Y3" s="1090"/>
      <c r="Z3" s="1087">
        <v>46082.0</v>
      </c>
      <c r="AA3" s="1088" t="s">
        <v>80</v>
      </c>
      <c r="AB3" s="1089" t="s">
        <v>889</v>
      </c>
      <c r="AC3" s="1088" t="s">
        <v>572</v>
      </c>
      <c r="AD3" s="1088" t="s">
        <v>896</v>
      </c>
      <c r="AE3" s="1088" t="s">
        <v>897</v>
      </c>
      <c r="AF3" s="1088" t="s">
        <v>898</v>
      </c>
      <c r="AG3" s="1088" t="s">
        <v>899</v>
      </c>
      <c r="AH3" s="1088" t="s">
        <v>900</v>
      </c>
      <c r="AI3" s="1091"/>
      <c r="AJ3" s="1092">
        <v>46113.0</v>
      </c>
      <c r="AK3" s="1088" t="s">
        <v>80</v>
      </c>
      <c r="AL3" s="1089" t="s">
        <v>889</v>
      </c>
      <c r="AM3" s="1088" t="s">
        <v>572</v>
      </c>
      <c r="AN3" s="1088" t="s">
        <v>896</v>
      </c>
      <c r="AO3" s="1088" t="s">
        <v>897</v>
      </c>
      <c r="AP3" s="1088" t="s">
        <v>898</v>
      </c>
      <c r="AQ3" s="1088" t="s">
        <v>899</v>
      </c>
      <c r="AR3" s="1088" t="s">
        <v>900</v>
      </c>
      <c r="AS3" s="1090"/>
      <c r="AT3" s="1092">
        <v>46143.0</v>
      </c>
      <c r="AU3" s="1093" t="s">
        <v>80</v>
      </c>
      <c r="AV3" s="1094" t="s">
        <v>889</v>
      </c>
      <c r="AW3" s="1093" t="s">
        <v>572</v>
      </c>
      <c r="AX3" s="1093" t="s">
        <v>896</v>
      </c>
      <c r="AY3" s="1093" t="s">
        <v>897</v>
      </c>
      <c r="AZ3" s="1093" t="s">
        <v>898</v>
      </c>
      <c r="BA3" s="1093" t="s">
        <v>899</v>
      </c>
      <c r="BB3" s="1093" t="s">
        <v>900</v>
      </c>
      <c r="BC3" s="1090"/>
      <c r="BD3" s="1092">
        <v>46174.0</v>
      </c>
      <c r="BE3" s="1088" t="s">
        <v>80</v>
      </c>
      <c r="BF3" s="1089" t="s">
        <v>889</v>
      </c>
      <c r="BG3" s="1088" t="s">
        <v>572</v>
      </c>
      <c r="BH3" s="1088" t="s">
        <v>896</v>
      </c>
      <c r="BI3" s="1088" t="s">
        <v>897</v>
      </c>
      <c r="BJ3" s="1088" t="s">
        <v>898</v>
      </c>
      <c r="BK3" s="1088" t="s">
        <v>899</v>
      </c>
      <c r="BL3" s="1088" t="s">
        <v>900</v>
      </c>
      <c r="BM3" s="1091"/>
      <c r="BN3" s="1092">
        <v>46205.0</v>
      </c>
      <c r="BO3" s="1088" t="s">
        <v>80</v>
      </c>
      <c r="BP3" s="1089" t="s">
        <v>889</v>
      </c>
      <c r="BQ3" s="1088" t="s">
        <v>572</v>
      </c>
      <c r="BR3" s="1088" t="s">
        <v>896</v>
      </c>
      <c r="BS3" s="1088" t="s">
        <v>897</v>
      </c>
      <c r="BT3" s="1088" t="s">
        <v>898</v>
      </c>
      <c r="BU3" s="1088" t="s">
        <v>899</v>
      </c>
      <c r="BV3" s="1088" t="s">
        <v>900</v>
      </c>
      <c r="BW3" s="1090"/>
      <c r="BX3" s="1092">
        <v>46235.0</v>
      </c>
      <c r="BY3" s="1088" t="s">
        <v>80</v>
      </c>
      <c r="BZ3" s="1089" t="s">
        <v>889</v>
      </c>
      <c r="CA3" s="1088" t="s">
        <v>572</v>
      </c>
      <c r="CB3" s="1088" t="s">
        <v>896</v>
      </c>
      <c r="CC3" s="1088" t="s">
        <v>897</v>
      </c>
      <c r="CD3" s="1088" t="s">
        <v>898</v>
      </c>
      <c r="CE3" s="1088" t="s">
        <v>899</v>
      </c>
      <c r="CF3" s="1088" t="s">
        <v>900</v>
      </c>
      <c r="CG3" s="1090"/>
      <c r="CH3" s="1092">
        <v>46266.0</v>
      </c>
      <c r="CI3" s="1088" t="s">
        <v>80</v>
      </c>
      <c r="CJ3" s="1089" t="s">
        <v>889</v>
      </c>
      <c r="CK3" s="1088" t="s">
        <v>572</v>
      </c>
      <c r="CL3" s="1088" t="s">
        <v>896</v>
      </c>
      <c r="CM3" s="1088" t="s">
        <v>897</v>
      </c>
      <c r="CN3" s="1088" t="s">
        <v>898</v>
      </c>
      <c r="CO3" s="1088" t="s">
        <v>899</v>
      </c>
      <c r="CP3" s="1088" t="s">
        <v>900</v>
      </c>
      <c r="CQ3" s="1091"/>
      <c r="CR3" s="1092">
        <v>46296.0</v>
      </c>
      <c r="CS3" s="1088" t="s">
        <v>80</v>
      </c>
      <c r="CT3" s="1089" t="s">
        <v>889</v>
      </c>
      <c r="CU3" s="1088" t="s">
        <v>572</v>
      </c>
      <c r="CV3" s="1088" t="s">
        <v>896</v>
      </c>
      <c r="CW3" s="1088" t="s">
        <v>897</v>
      </c>
      <c r="CX3" s="1088" t="s">
        <v>898</v>
      </c>
      <c r="CY3" s="1088" t="s">
        <v>899</v>
      </c>
      <c r="CZ3" s="1088" t="s">
        <v>900</v>
      </c>
      <c r="DA3" s="1090"/>
      <c r="DB3" s="1092">
        <v>46327.0</v>
      </c>
      <c r="DC3" s="1088" t="s">
        <v>80</v>
      </c>
      <c r="DD3" s="1089" t="s">
        <v>889</v>
      </c>
      <c r="DE3" s="1088" t="s">
        <v>572</v>
      </c>
      <c r="DF3" s="1088" t="s">
        <v>896</v>
      </c>
      <c r="DG3" s="1088" t="s">
        <v>897</v>
      </c>
      <c r="DH3" s="1088" t="s">
        <v>898</v>
      </c>
      <c r="DI3" s="1088" t="s">
        <v>899</v>
      </c>
      <c r="DJ3" s="1088" t="s">
        <v>900</v>
      </c>
      <c r="DK3" s="1090"/>
      <c r="DL3" s="1092">
        <v>46357.0</v>
      </c>
      <c r="DM3" s="1088" t="s">
        <v>80</v>
      </c>
      <c r="DN3" s="1089" t="s">
        <v>889</v>
      </c>
      <c r="DO3" s="1088" t="s">
        <v>572</v>
      </c>
      <c r="DP3" s="1088" t="s">
        <v>896</v>
      </c>
      <c r="DQ3" s="1088" t="s">
        <v>897</v>
      </c>
      <c r="DR3" s="1088" t="s">
        <v>898</v>
      </c>
      <c r="DS3" s="1088" t="s">
        <v>899</v>
      </c>
      <c r="DT3" s="1088" t="s">
        <v>900</v>
      </c>
      <c r="DU3" s="1090"/>
      <c r="DV3" s="1092">
        <v>46388.0</v>
      </c>
      <c r="DW3" s="1088" t="s">
        <v>80</v>
      </c>
      <c r="DX3" s="1089" t="s">
        <v>889</v>
      </c>
      <c r="DY3" s="1088" t="s">
        <v>572</v>
      </c>
      <c r="DZ3" s="1088" t="s">
        <v>896</v>
      </c>
      <c r="EA3" s="1088" t="s">
        <v>897</v>
      </c>
      <c r="EB3" s="1088" t="s">
        <v>898</v>
      </c>
      <c r="EC3" s="1088" t="s">
        <v>899</v>
      </c>
      <c r="ED3" s="1088" t="s">
        <v>900</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204.1833333</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901</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IFERROR(__xludf.DUMMYFUNCTION("IMPORTRANGE($P$6,$P$4&amp;AE$2)"),16.0)</f>
        <v>16</v>
      </c>
      <c r="AF4" s="216">
        <f t="shared" ref="AF4:AF299" si="6">COUNTIF(INDIRECT(AF$2 &amp; "L9:L"), AB4)</f>
        <v>1</v>
      </c>
      <c r="AG4" s="1110">
        <f>IFERROR(__xludf.DUMMYFUNCTION("IMPORTRANGE($P$6,$P$4&amp;AG$2)"),112.98333333333333)</f>
        <v>112.9833333</v>
      </c>
      <c r="AH4" s="216">
        <f>IFERROR(__xludf.DUMMYFUNCTION("IMPORTRANGE($P$6,$P$4&amp;AH$2)"),0.0)</f>
        <v>0</v>
      </c>
      <c r="AI4" s="1095"/>
      <c r="AJ4" s="1111" t="str">
        <f>$P$7</f>
        <v/>
      </c>
      <c r="AK4" s="1105" t="str">
        <f>IFERROR(__xludf.DUMMYFUNCTION("IMPORTRANGE($P$7,$P$4&amp;AK$2)"),"#N/A")</f>
        <v>#N/A</v>
      </c>
      <c r="AL4" s="463"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196</v>
      </c>
      <c r="D5" s="1098" t="s">
        <v>89</v>
      </c>
      <c r="E5" s="1098" t="s">
        <v>817</v>
      </c>
      <c r="F5" s="1099">
        <f t="shared" si="2"/>
        <v>24</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160.1166667</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902</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5"/>
      <c r="AL5" s="168"/>
      <c r="AM5" s="943"/>
      <c r="AN5" s="943"/>
      <c r="AO5" s="1109"/>
      <c r="AP5" s="216">
        <f t="shared" si="7"/>
        <v>0</v>
      </c>
      <c r="AQ5" s="1110"/>
      <c r="AR5" s="216"/>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1749.0</v>
      </c>
      <c r="C6" s="1097" t="s">
        <v>584</v>
      </c>
      <c r="D6" s="1098" t="s">
        <v>89</v>
      </c>
      <c r="E6" s="1098" t="s">
        <v>903</v>
      </c>
      <c r="F6" s="1099">
        <f t="shared" si="2"/>
        <v>0</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0</v>
      </c>
      <c r="J6" s="1102">
        <f t="shared" si="17"/>
        <v>0</v>
      </c>
      <c r="K6" s="188"/>
      <c r="L6" s="216" t="str">
        <f t="array" ref="L6">IFERROR(INDEX('💻シート作成'!$D$6:$D999, MATCH(M6, '💻シート作成'!$E$6:$E999, 0)), "")</f>
        <v/>
      </c>
      <c r="M6" s="949" t="str">
        <f>IFERROR(__xludf.DUMMYFUNCTION("""COMPUTED_VALUE"""),"✅安全チェック")</f>
        <v>✅安全チェック</v>
      </c>
      <c r="N6" s="188"/>
      <c r="O6" s="1115">
        <v>3.0</v>
      </c>
      <c r="P6" s="1121" t="s">
        <v>904</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5"/>
      <c r="AL6" s="168"/>
      <c r="AM6" s="943"/>
      <c r="AN6" s="943"/>
      <c r="AO6" s="1109"/>
      <c r="AP6" s="216">
        <f t="shared" si="7"/>
        <v>0</v>
      </c>
      <c r="AQ6" s="1110"/>
      <c r="AR6" s="216"/>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2384.0</v>
      </c>
      <c r="C7" s="1097" t="s">
        <v>585</v>
      </c>
      <c r="D7" s="1098" t="s">
        <v>89</v>
      </c>
      <c r="E7" s="1098" t="s">
        <v>817</v>
      </c>
      <c r="F7" s="1099">
        <f t="shared" si="2"/>
        <v>2</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8.5</v>
      </c>
      <c r="J7" s="1102">
        <f t="shared" si="18"/>
        <v>0</v>
      </c>
      <c r="K7" s="188"/>
      <c r="L7" s="216" t="str">
        <f t="array" ref="L7">IFERROR(INDEX('💻シート作成'!$D$6:$D999, MATCH(M7, '💻シート作成'!$E$6:$E999, 0)), "")</f>
        <v/>
      </c>
      <c r="M7" s="949" t="str">
        <f>IFERROR(__xludf.DUMMYFUNCTION("""COMPUTED_VALUE"""),"🏨ホテル月報")</f>
        <v>🏨ホテル月報</v>
      </c>
      <c r="N7" s="188"/>
      <c r="O7" s="1115">
        <v>4.0</v>
      </c>
      <c r="P7" s="1122"/>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5"/>
      <c r="AL7" s="168"/>
      <c r="AM7" s="943"/>
      <c r="AN7" s="943"/>
      <c r="AO7" s="1109"/>
      <c r="AP7" s="216">
        <f t="shared" si="7"/>
        <v>0</v>
      </c>
      <c r="AQ7" s="1110"/>
      <c r="AR7" s="216"/>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v>
      </c>
      <c r="C8" s="1097" t="s">
        <v>190</v>
      </c>
      <c r="D8" s="1098" t="s">
        <v>90</v>
      </c>
      <c r="E8" s="1098" t="s">
        <v>905</v>
      </c>
      <c r="F8" s="1099">
        <f t="shared" si="2"/>
        <v>50</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284.8</v>
      </c>
      <c r="J8" s="1102">
        <f t="shared" si="19"/>
        <v>1069</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5"/>
      <c r="AL8" s="168"/>
      <c r="AM8" s="943"/>
      <c r="AN8" s="943"/>
      <c r="AO8" s="1109"/>
      <c r="AP8" s="216">
        <f t="shared" si="7"/>
        <v>0</v>
      </c>
      <c r="AQ8" s="1110"/>
      <c r="AR8" s="216"/>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219.0</v>
      </c>
      <c r="C9" s="1097" t="s">
        <v>157</v>
      </c>
      <c r="D9" s="1098" t="s">
        <v>90</v>
      </c>
      <c r="E9" s="1098" t="s">
        <v>905</v>
      </c>
      <c r="F9" s="1099">
        <f t="shared" si="2"/>
        <v>22</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109.0833333</v>
      </c>
      <c r="J9" s="1102">
        <f t="shared" si="20"/>
        <v>471</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IFERROR(__xludf.DUMMYFUNCTION("""COMPUTED_VALUE"""),11.0)</f>
        <v>11</v>
      </c>
      <c r="AF9" s="216">
        <f t="shared" si="6"/>
        <v>0</v>
      </c>
      <c r="AG9" s="1110">
        <f>IFERROR(__xludf.DUMMYFUNCTION("""COMPUTED_VALUE"""),53.233333333333334)</f>
        <v>53.23333333</v>
      </c>
      <c r="AH9" s="216">
        <f>IFERROR(__xludf.DUMMYFUNCTION("""COMPUTED_VALUE"""),228.0)</f>
        <v>228</v>
      </c>
      <c r="AI9" s="188"/>
      <c r="AJ9" s="188"/>
      <c r="AK9" s="1105"/>
      <c r="AL9" s="168"/>
      <c r="AM9" s="943"/>
      <c r="AN9" s="943"/>
      <c r="AO9" s="1109"/>
      <c r="AP9" s="216">
        <f t="shared" si="7"/>
        <v>0</v>
      </c>
      <c r="AQ9" s="1110"/>
      <c r="AR9" s="216"/>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220.0</v>
      </c>
      <c r="C10" s="1097" t="s">
        <v>488</v>
      </c>
      <c r="D10" s="1098" t="s">
        <v>90</v>
      </c>
      <c r="E10" s="1098" t="s">
        <v>905</v>
      </c>
      <c r="F10" s="1099">
        <f t="shared" si="2"/>
        <v>49</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249.8333333</v>
      </c>
      <c r="J10" s="1102">
        <f t="shared" si="21"/>
        <v>737</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5"/>
      <c r="AL10" s="168"/>
      <c r="AM10" s="943"/>
      <c r="AN10" s="943"/>
      <c r="AO10" s="1109"/>
      <c r="AP10" s="216">
        <f t="shared" si="7"/>
        <v>0</v>
      </c>
      <c r="AQ10" s="1110"/>
      <c r="AR10" s="216"/>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237.0</v>
      </c>
      <c r="C11" s="1097" t="s">
        <v>591</v>
      </c>
      <c r="D11" s="1098" t="s">
        <v>90</v>
      </c>
      <c r="E11" s="1098" t="s">
        <v>905</v>
      </c>
      <c r="F11" s="1099">
        <f t="shared" si="2"/>
        <v>49</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228.9333333</v>
      </c>
      <c r="J11" s="1102">
        <f t="shared" si="22"/>
        <v>27</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5"/>
      <c r="AL11" s="168"/>
      <c r="AM11" s="943"/>
      <c r="AN11" s="943"/>
      <c r="AO11" s="1109"/>
      <c r="AP11" s="216">
        <f t="shared" si="7"/>
        <v>0</v>
      </c>
      <c r="AQ11" s="1110"/>
      <c r="AR11" s="216"/>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237.0</v>
      </c>
      <c r="C12" s="1097" t="s">
        <v>592</v>
      </c>
      <c r="D12" s="1098" t="s">
        <v>90</v>
      </c>
      <c r="E12" s="1098" t="s">
        <v>905</v>
      </c>
      <c r="F12" s="1099">
        <f t="shared" si="2"/>
        <v>49</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228.9333333</v>
      </c>
      <c r="J12" s="1102">
        <f t="shared" si="23"/>
        <v>27</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5"/>
      <c r="AL12" s="168"/>
      <c r="AM12" s="943"/>
      <c r="AN12" s="943"/>
      <c r="AO12" s="1109"/>
      <c r="AP12" s="216">
        <f t="shared" si="7"/>
        <v>0</v>
      </c>
      <c r="AQ12" s="1110"/>
      <c r="AR12" s="216"/>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324.0</v>
      </c>
      <c r="C13" s="1097" t="s">
        <v>197</v>
      </c>
      <c r="D13" s="1098" t="s">
        <v>90</v>
      </c>
      <c r="E13" s="1098" t="s">
        <v>905</v>
      </c>
      <c r="F13" s="1099">
        <f t="shared" si="2"/>
        <v>50</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250.85</v>
      </c>
      <c r="J13" s="1102">
        <f t="shared" si="24"/>
        <v>1104</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5"/>
      <c r="AL13" s="168"/>
      <c r="AM13" s="943"/>
      <c r="AN13" s="943"/>
      <c r="AO13" s="1109"/>
      <c r="AP13" s="216">
        <f t="shared" si="7"/>
        <v>0</v>
      </c>
      <c r="AQ13" s="1110"/>
      <c r="AR13" s="216"/>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454.0</v>
      </c>
      <c r="C14" s="1097" t="s">
        <v>503</v>
      </c>
      <c r="D14" s="1098" t="s">
        <v>90</v>
      </c>
      <c r="E14" s="1098" t="s">
        <v>817</v>
      </c>
      <c r="F14" s="1099">
        <f t="shared" si="2"/>
        <v>10</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60.73333333</v>
      </c>
      <c r="J14" s="1102">
        <f t="shared" si="25"/>
        <v>0</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5"/>
      <c r="AL14" s="168"/>
      <c r="AM14" s="943"/>
      <c r="AN14" s="943"/>
      <c r="AO14" s="1109"/>
      <c r="AP14" s="216">
        <f t="shared" si="7"/>
        <v>0</v>
      </c>
      <c r="AQ14" s="1110"/>
      <c r="AR14" s="216"/>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517.0</v>
      </c>
      <c r="C15" s="1124" t="s">
        <v>491</v>
      </c>
      <c r="D15" s="1098" t="s">
        <v>90</v>
      </c>
      <c r="E15" s="1098" t="s">
        <v>905</v>
      </c>
      <c r="F15" s="1099">
        <f t="shared" si="2"/>
        <v>29</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132.7333333</v>
      </c>
      <c r="J15" s="1102">
        <f t="shared" si="26"/>
        <v>597</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IFERROR(__xludf.DUMMYFUNCTION("""COMPUTED_VALUE"""),17.0)</f>
        <v>17</v>
      </c>
      <c r="AF15" s="216">
        <f t="shared" si="6"/>
        <v>0</v>
      </c>
      <c r="AG15" s="1110">
        <f>IFERROR(__xludf.DUMMYFUNCTION("""COMPUTED_VALUE"""),78.15)</f>
        <v>78.15</v>
      </c>
      <c r="AH15" s="216">
        <f>IFERROR(__xludf.DUMMYFUNCTION("""COMPUTED_VALUE"""),356.0)</f>
        <v>356</v>
      </c>
      <c r="AI15" s="188"/>
      <c r="AJ15" s="188"/>
      <c r="AK15" s="1105"/>
      <c r="AL15" s="168"/>
      <c r="AM15" s="943"/>
      <c r="AN15" s="943"/>
      <c r="AO15" s="1109"/>
      <c r="AP15" s="216">
        <f t="shared" si="7"/>
        <v>0</v>
      </c>
      <c r="AQ15" s="1110"/>
      <c r="AR15" s="216"/>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718.0</v>
      </c>
      <c r="C16" s="1124" t="s">
        <v>587</v>
      </c>
      <c r="D16" s="1098" t="s">
        <v>90</v>
      </c>
      <c r="E16" s="1098" t="s">
        <v>817</v>
      </c>
      <c r="F16" s="1099">
        <f t="shared" si="2"/>
        <v>14</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80.88333333</v>
      </c>
      <c r="J16" s="1102">
        <f t="shared" si="27"/>
        <v>0</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5"/>
      <c r="AL16" s="168"/>
      <c r="AM16" s="943"/>
      <c r="AN16" s="943"/>
      <c r="AO16" s="1109"/>
      <c r="AP16" s="216">
        <f t="shared" si="7"/>
        <v>0</v>
      </c>
      <c r="AQ16" s="1110"/>
      <c r="AR16" s="216"/>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838.0</v>
      </c>
      <c r="C17" s="1124" t="s">
        <v>492</v>
      </c>
      <c r="D17" s="1098" t="s">
        <v>90</v>
      </c>
      <c r="E17" s="1098" t="s">
        <v>905</v>
      </c>
      <c r="F17" s="1099">
        <f t="shared" si="2"/>
        <v>50</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255.7833333</v>
      </c>
      <c r="J17" s="1102">
        <f t="shared" si="28"/>
        <v>811</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5"/>
      <c r="AL17" s="172"/>
      <c r="AM17" s="216"/>
      <c r="AN17" s="216"/>
      <c r="AO17" s="1109"/>
      <c r="AP17" s="216">
        <f t="shared" si="7"/>
        <v>0</v>
      </c>
      <c r="AQ17" s="1110"/>
      <c r="AR17" s="216"/>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1319.0</v>
      </c>
      <c r="C18" s="1124" t="s">
        <v>103</v>
      </c>
      <c r="D18" s="1098" t="s">
        <v>90</v>
      </c>
      <c r="E18" s="1098" t="s">
        <v>905</v>
      </c>
      <c r="F18" s="1099">
        <f t="shared" si="2"/>
        <v>40</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200.15</v>
      </c>
      <c r="J18" s="1102">
        <f t="shared" si="29"/>
        <v>802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IFERROR(__xludf.DUMMYFUNCTION("""COMPUTED_VALUE"""),24.0)</f>
        <v>24</v>
      </c>
      <c r="AF18" s="216">
        <f t="shared" si="6"/>
        <v>0</v>
      </c>
      <c r="AG18" s="1110">
        <f>IFERROR(__xludf.DUMMYFUNCTION("""COMPUTED_VALUE"""),114.93333333333334)</f>
        <v>114.9333333</v>
      </c>
      <c r="AH18" s="216">
        <f>IFERROR(__xludf.DUMMYFUNCTION("""COMPUTED_VALUE"""),492.0)</f>
        <v>492</v>
      </c>
      <c r="AI18" s="188"/>
      <c r="AJ18" s="188"/>
      <c r="AK18" s="1105"/>
      <c r="AL18" s="172"/>
      <c r="AM18" s="216"/>
      <c r="AN18" s="216"/>
      <c r="AO18" s="1109"/>
      <c r="AP18" s="216">
        <f t="shared" si="7"/>
        <v>0</v>
      </c>
      <c r="AQ18" s="1110"/>
      <c r="AR18" s="216"/>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1340.0</v>
      </c>
      <c r="C19" s="1124" t="s">
        <v>594</v>
      </c>
      <c r="D19" s="1098" t="s">
        <v>90</v>
      </c>
      <c r="E19" s="1098" t="s">
        <v>903</v>
      </c>
      <c r="F19" s="1099">
        <f t="shared" si="2"/>
        <v>47</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230.1166667</v>
      </c>
      <c r="J19" s="1102">
        <f t="shared" si="30"/>
        <v>15</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f>
        <v/>
      </c>
      <c r="AE19" s="1109">
        <f>IFERROR(__xludf.DUMMYFUNCTION("""COMPUTED_VALUE"""),24.0)</f>
        <v>24</v>
      </c>
      <c r="AF19" s="216">
        <f t="shared" si="6"/>
        <v>0</v>
      </c>
      <c r="AG19" s="1110">
        <f>IFERROR(__xludf.DUMMYFUNCTION("""COMPUTED_VALUE"""),117.95)</f>
        <v>117.95</v>
      </c>
      <c r="AH19" s="216">
        <f>IFERROR(__xludf.DUMMYFUNCTION("""COMPUTED_VALUE"""),0.0)</f>
        <v>0</v>
      </c>
      <c r="AI19" s="188"/>
      <c r="AJ19" s="188"/>
      <c r="AK19" s="1105"/>
      <c r="AL19" s="172"/>
      <c r="AM19" s="216"/>
      <c r="AN19" s="216"/>
      <c r="AO19" s="1109"/>
      <c r="AP19" s="216">
        <f t="shared" si="7"/>
        <v>0</v>
      </c>
      <c r="AQ19" s="1110"/>
      <c r="AR19" s="216"/>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1340.0</v>
      </c>
      <c r="C20" s="1124" t="s">
        <v>595</v>
      </c>
      <c r="D20" s="1098" t="s">
        <v>90</v>
      </c>
      <c r="E20" s="1098" t="s">
        <v>905</v>
      </c>
      <c r="F20" s="1099">
        <f t="shared" si="2"/>
        <v>47</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230.1166667</v>
      </c>
      <c r="J20" s="1102">
        <f t="shared" si="31"/>
        <v>15</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IFERROR(__xludf.DUMMYFUNCTION("""COMPUTED_VALUE"""),24.0)</f>
        <v>24</v>
      </c>
      <c r="AF20" s="216">
        <f t="shared" si="6"/>
        <v>0</v>
      </c>
      <c r="AG20" s="1110">
        <f>IFERROR(__xludf.DUMMYFUNCTION("""COMPUTED_VALUE"""),117.95)</f>
        <v>117.95</v>
      </c>
      <c r="AH20" s="216">
        <f>IFERROR(__xludf.DUMMYFUNCTION("""COMPUTED_VALUE"""),557.0)</f>
        <v>557</v>
      </c>
      <c r="AI20" s="188"/>
      <c r="AJ20" s="188"/>
      <c r="AK20" s="1105"/>
      <c r="AL20" s="172"/>
      <c r="AM20" s="216"/>
      <c r="AN20" s="216"/>
      <c r="AO20" s="1109"/>
      <c r="AP20" s="216">
        <f t="shared" si="7"/>
        <v>0</v>
      </c>
      <c r="AQ20" s="1110"/>
      <c r="AR20" s="216"/>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1379.0</v>
      </c>
      <c r="C21" s="1124" t="s">
        <v>596</v>
      </c>
      <c r="D21" s="1098" t="s">
        <v>90</v>
      </c>
      <c r="E21" s="1098" t="s">
        <v>905</v>
      </c>
      <c r="F21" s="1099">
        <f t="shared" si="2"/>
        <v>48</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222.4</v>
      </c>
      <c r="J21" s="1102">
        <f t="shared" si="32"/>
        <v>128</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IFERROR(__xludf.DUMMYFUNCTION("""COMPUTED_VALUE"""),25.0)</f>
        <v>25</v>
      </c>
      <c r="AF21" s="216">
        <f t="shared" si="6"/>
        <v>0</v>
      </c>
      <c r="AG21" s="1110">
        <f>IFERROR(__xludf.DUMMYFUNCTION("""COMPUTED_VALUE"""),116.03333333333333)</f>
        <v>116.0333333</v>
      </c>
      <c r="AH21" s="216">
        <f>IFERROR(__xludf.DUMMYFUNCTION("""COMPUTED_VALUE"""),69.0)</f>
        <v>69</v>
      </c>
      <c r="AI21" s="188"/>
      <c r="AJ21" s="188"/>
      <c r="AK21" s="1105"/>
      <c r="AL21" s="172"/>
      <c r="AM21" s="216"/>
      <c r="AN21" s="216"/>
      <c r="AO21" s="1109"/>
      <c r="AP21" s="216">
        <f t="shared" si="7"/>
        <v>0</v>
      </c>
      <c r="AQ21" s="1110"/>
      <c r="AR21" s="216"/>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1379.0</v>
      </c>
      <c r="C22" s="1124" t="s">
        <v>597</v>
      </c>
      <c r="D22" s="1098" t="s">
        <v>90</v>
      </c>
      <c r="E22" s="1098" t="s">
        <v>905</v>
      </c>
      <c r="F22" s="1099">
        <f t="shared" si="2"/>
        <v>48</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222.4</v>
      </c>
      <c r="J22" s="1102">
        <f t="shared" si="33"/>
        <v>128</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IFERROR(__xludf.DUMMYFUNCTION("""COMPUTED_VALUE"""),25.0)</f>
        <v>25</v>
      </c>
      <c r="AF22" s="216">
        <f t="shared" si="6"/>
        <v>0</v>
      </c>
      <c r="AG22" s="1110">
        <f>IFERROR(__xludf.DUMMYFUNCTION("""COMPUTED_VALUE"""),116.03333333333333)</f>
        <v>116.0333333</v>
      </c>
      <c r="AH22" s="216">
        <f>IFERROR(__xludf.DUMMYFUNCTION("""COMPUTED_VALUE"""),479.0)</f>
        <v>479</v>
      </c>
      <c r="AI22" s="188"/>
      <c r="AJ22" s="188"/>
      <c r="AK22" s="1105"/>
      <c r="AL22" s="172"/>
      <c r="AM22" s="216"/>
      <c r="AN22" s="216"/>
      <c r="AO22" s="1109"/>
      <c r="AP22" s="216">
        <f t="shared" si="7"/>
        <v>0</v>
      </c>
      <c r="AQ22" s="1110"/>
      <c r="AR22" s="216"/>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1459.0</v>
      </c>
      <c r="C23" s="1124" t="s">
        <v>598</v>
      </c>
      <c r="D23" s="1098" t="s">
        <v>90</v>
      </c>
      <c r="E23" s="1098" t="s">
        <v>905</v>
      </c>
      <c r="F23" s="1099">
        <f t="shared" si="2"/>
        <v>31</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163.6333333</v>
      </c>
      <c r="J23" s="1102">
        <f t="shared" si="34"/>
        <v>108</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IFERROR(__xludf.DUMMYFUNCTION("""COMPUTED_VALUE"""),15.0)</f>
        <v>15</v>
      </c>
      <c r="AF23" s="216">
        <f t="shared" si="6"/>
        <v>0</v>
      </c>
      <c r="AG23" s="1110">
        <f>IFERROR(__xludf.DUMMYFUNCTION("""COMPUTED_VALUE"""),81.3)</f>
        <v>81.3</v>
      </c>
      <c r="AH23" s="216">
        <f>IFERROR(__xludf.DUMMYFUNCTION("""COMPUTED_VALUE"""),76.0)</f>
        <v>76</v>
      </c>
      <c r="AI23" s="188"/>
      <c r="AJ23" s="188"/>
      <c r="AK23" s="1105"/>
      <c r="AL23" s="172"/>
      <c r="AM23" s="216"/>
      <c r="AN23" s="216"/>
      <c r="AO23" s="1109"/>
      <c r="AP23" s="216">
        <f t="shared" si="7"/>
        <v>0</v>
      </c>
      <c r="AQ23" s="1110"/>
      <c r="AR23" s="216"/>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1459.0</v>
      </c>
      <c r="C24" s="1124" t="s">
        <v>599</v>
      </c>
      <c r="D24" s="1098" t="s">
        <v>90</v>
      </c>
      <c r="E24" s="1098" t="s">
        <v>905</v>
      </c>
      <c r="F24" s="1099">
        <f t="shared" si="2"/>
        <v>31</v>
      </c>
      <c r="G24" s="1100" t="str">
        <f t="shared" si="3"/>
        <v>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1">
        <f t="shared" si="35"/>
        <v>163.6333333</v>
      </c>
      <c r="J24" s="1102">
        <f t="shared" si="35"/>
        <v>108</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IFERROR(__xludf.DUMMYFUNCTION("""COMPUTED_VALUE"""),15.0)</f>
        <v>15</v>
      </c>
      <c r="AF24" s="216">
        <f t="shared" si="6"/>
        <v>0</v>
      </c>
      <c r="AG24" s="1110">
        <f>IFERROR(__xludf.DUMMYFUNCTION("""COMPUTED_VALUE"""),81.3)</f>
        <v>81.3</v>
      </c>
      <c r="AH24" s="216">
        <f>IFERROR(__xludf.DUMMYFUNCTION("""COMPUTED_VALUE"""),254.0)</f>
        <v>254</v>
      </c>
      <c r="AI24" s="188"/>
      <c r="AJ24" s="188"/>
      <c r="AK24" s="1105"/>
      <c r="AL24" s="172"/>
      <c r="AM24" s="216"/>
      <c r="AN24" s="216"/>
      <c r="AO24" s="1109"/>
      <c r="AP24" s="216">
        <f t="shared" si="7"/>
        <v>0</v>
      </c>
      <c r="AQ24" s="1110"/>
      <c r="AR24" s="216"/>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1506.0</v>
      </c>
      <c r="C25" s="1124" t="s">
        <v>137</v>
      </c>
      <c r="D25" s="1098" t="s">
        <v>90</v>
      </c>
      <c r="E25" s="1098" t="s">
        <v>905</v>
      </c>
      <c r="F25" s="1099">
        <f t="shared" si="2"/>
        <v>28</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144.5</v>
      </c>
      <c r="J25" s="1102">
        <f t="shared" si="36"/>
        <v>397</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5"/>
      <c r="AL25" s="172"/>
      <c r="AM25" s="216"/>
      <c r="AN25" s="216"/>
      <c r="AO25" s="1109"/>
      <c r="AP25" s="216">
        <f t="shared" si="7"/>
        <v>0</v>
      </c>
      <c r="AQ25" s="1110"/>
      <c r="AR25" s="216"/>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1551.0</v>
      </c>
      <c r="C26" s="1124" t="s">
        <v>495</v>
      </c>
      <c r="D26" s="1098" t="s">
        <v>90</v>
      </c>
      <c r="E26" s="1098" t="s">
        <v>905</v>
      </c>
      <c r="F26" s="1099">
        <f t="shared" si="2"/>
        <v>21</v>
      </c>
      <c r="G26" s="1100" t="str">
        <f t="shared" si="3"/>
        <v>非該当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01">
        <f t="shared" si="37"/>
        <v>100.4</v>
      </c>
      <c r="J26" s="1102">
        <f t="shared" si="37"/>
        <v>398</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5"/>
      <c r="AL26" s="172"/>
      <c r="AM26" s="216"/>
      <c r="AN26" s="216"/>
      <c r="AO26" s="1109"/>
      <c r="AP26" s="216">
        <f t="shared" si="7"/>
        <v>0</v>
      </c>
      <c r="AQ26" s="1110"/>
      <c r="AR26" s="216"/>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1726.0</v>
      </c>
      <c r="C27" s="1124" t="s">
        <v>497</v>
      </c>
      <c r="D27" s="1098" t="s">
        <v>90</v>
      </c>
      <c r="E27" s="1098" t="s">
        <v>905</v>
      </c>
      <c r="F27" s="1099">
        <f t="shared" si="2"/>
        <v>47</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195.6833333</v>
      </c>
      <c r="J27" s="1102">
        <f t="shared" si="38"/>
        <v>989</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IFERROR(__xludf.DUMMYFUNCTION("""COMPUTED_VALUE"""),25.0)</f>
        <v>25</v>
      </c>
      <c r="AF27" s="216">
        <f t="shared" si="6"/>
        <v>0</v>
      </c>
      <c r="AG27" s="1110">
        <f>IFERROR(__xludf.DUMMYFUNCTION("""COMPUTED_VALUE"""),100.91666666666667)</f>
        <v>100.9166667</v>
      </c>
      <c r="AH27" s="216">
        <f>IFERROR(__xludf.DUMMYFUNCTION("""COMPUTED_VALUE"""),518.0)</f>
        <v>518</v>
      </c>
      <c r="AI27" s="188"/>
      <c r="AJ27" s="188"/>
      <c r="AK27" s="1105"/>
      <c r="AL27" s="172"/>
      <c r="AM27" s="216"/>
      <c r="AN27" s="216"/>
      <c r="AO27" s="1109"/>
      <c r="AP27" s="216">
        <f t="shared" si="7"/>
        <v>0</v>
      </c>
      <c r="AQ27" s="1110"/>
      <c r="AR27" s="216"/>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1727.0</v>
      </c>
      <c r="C28" s="1124" t="s">
        <v>498</v>
      </c>
      <c r="D28" s="1098" t="s">
        <v>90</v>
      </c>
      <c r="E28" s="1098" t="s">
        <v>905</v>
      </c>
      <c r="F28" s="1099">
        <f t="shared" si="2"/>
        <v>25</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138.6833333</v>
      </c>
      <c r="J28" s="1102">
        <f t="shared" si="39"/>
        <v>442</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IFERROR(__xludf.DUMMYFUNCTION("""COMPUTED_VALUE"""),17.0)</f>
        <v>17</v>
      </c>
      <c r="AF28" s="216">
        <f t="shared" si="6"/>
        <v>0</v>
      </c>
      <c r="AG28" s="1110">
        <f>IFERROR(__xludf.DUMMYFUNCTION("""COMPUTED_VALUE"""),98.1)</f>
        <v>98.1</v>
      </c>
      <c r="AH28" s="216">
        <f>IFERROR(__xludf.DUMMYFUNCTION("""COMPUTED_VALUE"""),303.0)</f>
        <v>303</v>
      </c>
      <c r="AI28" s="188"/>
      <c r="AJ28" s="188"/>
      <c r="AK28" s="1105"/>
      <c r="AL28" s="172"/>
      <c r="AM28" s="216"/>
      <c r="AN28" s="216"/>
      <c r="AO28" s="1109"/>
      <c r="AP28" s="216">
        <f t="shared" si="7"/>
        <v>0</v>
      </c>
      <c r="AQ28" s="1110"/>
      <c r="AR28" s="216"/>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1728.0</v>
      </c>
      <c r="C29" s="1124" t="s">
        <v>499</v>
      </c>
      <c r="D29" s="1098" t="s">
        <v>90</v>
      </c>
      <c r="E29" s="1098" t="s">
        <v>905</v>
      </c>
      <c r="F29" s="1099">
        <f t="shared" si="2"/>
        <v>45</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217.6</v>
      </c>
      <c r="J29" s="1102">
        <f t="shared" si="40"/>
        <v>883</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IFERROR(__xludf.DUMMYFUNCTION("""COMPUTED_VALUE"""),24.0)</f>
        <v>24</v>
      </c>
      <c r="AF29" s="216">
        <f t="shared" si="6"/>
        <v>0</v>
      </c>
      <c r="AG29" s="1110">
        <f>IFERROR(__xludf.DUMMYFUNCTION("""COMPUTED_VALUE"""),118.3)</f>
        <v>118.3</v>
      </c>
      <c r="AH29" s="216">
        <f>IFERROR(__xludf.DUMMYFUNCTION("""COMPUTED_VALUE"""),472.0)</f>
        <v>472</v>
      </c>
      <c r="AI29" s="188"/>
      <c r="AJ29" s="188"/>
      <c r="AK29" s="1105"/>
      <c r="AL29" s="172"/>
      <c r="AM29" s="216"/>
      <c r="AN29" s="216"/>
      <c r="AO29" s="1109"/>
      <c r="AP29" s="216">
        <f t="shared" si="7"/>
        <v>0</v>
      </c>
      <c r="AQ29" s="1110"/>
      <c r="AR29" s="216"/>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2253.0</v>
      </c>
      <c r="C30" s="1124" t="s">
        <v>204</v>
      </c>
      <c r="D30" s="1098" t="s">
        <v>90</v>
      </c>
      <c r="E30" s="1098" t="s">
        <v>905</v>
      </c>
      <c r="F30" s="1099">
        <f t="shared" si="2"/>
        <v>42</v>
      </c>
      <c r="G30" s="1100" t="str">
        <f t="shared" si="3"/>
        <v>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1">
        <f t="shared" si="41"/>
        <v>190.7833333</v>
      </c>
      <c r="J30" s="1102">
        <f t="shared" si="41"/>
        <v>705</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IFERROR(__xludf.DUMMYFUNCTION("""COMPUTED_VALUE"""),24.0)</f>
        <v>24</v>
      </c>
      <c r="AF30" s="216">
        <f t="shared" si="6"/>
        <v>0</v>
      </c>
      <c r="AG30" s="1110">
        <f>IFERROR(__xludf.DUMMYFUNCTION("""COMPUTED_VALUE"""),99.28333333333333)</f>
        <v>99.28333333</v>
      </c>
      <c r="AH30" s="216">
        <f>IFERROR(__xludf.DUMMYFUNCTION("""COMPUTED_VALUE"""),430.0)</f>
        <v>430</v>
      </c>
      <c r="AI30" s="188"/>
      <c r="AJ30" s="188"/>
      <c r="AK30" s="1105"/>
      <c r="AL30" s="172"/>
      <c r="AM30" s="216"/>
      <c r="AN30" s="216"/>
      <c r="AO30" s="1109"/>
      <c r="AP30" s="216">
        <f t="shared" si="7"/>
        <v>0</v>
      </c>
      <c r="AQ30" s="1110"/>
      <c r="AR30" s="216"/>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2314.0</v>
      </c>
      <c r="C31" s="1124" t="s">
        <v>136</v>
      </c>
      <c r="D31" s="1098" t="s">
        <v>90</v>
      </c>
      <c r="E31" s="1098" t="s">
        <v>817</v>
      </c>
      <c r="F31" s="1099">
        <f t="shared" si="2"/>
        <v>23</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138.8333333</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IFERROR(__xludf.DUMMYFUNCTION("""COMPUTED_VALUE"""),11.0)</f>
        <v>11</v>
      </c>
      <c r="AF31" s="216">
        <f t="shared" si="6"/>
        <v>0</v>
      </c>
      <c r="AG31" s="1110">
        <f>IFERROR(__xludf.DUMMYFUNCTION("""COMPUTED_VALUE"""),67.81666666666666)</f>
        <v>67.81666667</v>
      </c>
      <c r="AH31" s="216">
        <f>IFERROR(__xludf.DUMMYFUNCTION("""COMPUTED_VALUE"""),0.0)</f>
        <v>0</v>
      </c>
      <c r="AI31" s="188"/>
      <c r="AJ31" s="188"/>
      <c r="AK31" s="1105"/>
      <c r="AL31" s="172"/>
      <c r="AM31" s="216"/>
      <c r="AN31" s="216"/>
      <c r="AO31" s="1109"/>
      <c r="AP31" s="216">
        <f t="shared" si="7"/>
        <v>0</v>
      </c>
      <c r="AQ31" s="1110"/>
      <c r="AR31" s="216"/>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96">
        <v>2339.0</v>
      </c>
      <c r="C32" s="1124" t="s">
        <v>586</v>
      </c>
      <c r="D32" s="1098" t="s">
        <v>90</v>
      </c>
      <c r="E32" s="1098" t="s">
        <v>905</v>
      </c>
      <c r="F32" s="1099">
        <f t="shared" si="2"/>
        <v>13</v>
      </c>
      <c r="G32" s="1100" t="str">
        <f t="shared" si="3"/>
        <v>該当</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69.36666667</v>
      </c>
      <c r="J32" s="1102">
        <f t="shared" si="43"/>
        <v>28</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c r="AO32" s="1109"/>
      <c r="AP32" s="216">
        <f t="shared" si="7"/>
        <v>0</v>
      </c>
      <c r="AQ32" s="1110"/>
      <c r="AR32" s="216"/>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96">
        <v>2370.0</v>
      </c>
      <c r="C33" s="1124" t="s">
        <v>201</v>
      </c>
      <c r="D33" s="1098" t="s">
        <v>90</v>
      </c>
      <c r="E33" s="1098" t="s">
        <v>906</v>
      </c>
      <c r="F33" s="1099">
        <f t="shared" si="2"/>
        <v>16</v>
      </c>
      <c r="G33" s="1100" t="str">
        <f t="shared" si="3"/>
        <v>非該当</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01">
        <f t="shared" si="44"/>
        <v>90.11666667</v>
      </c>
      <c r="J33" s="1102">
        <f t="shared" si="44"/>
        <v>142</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IFERROR(__xludf.DUMMYFUNCTION("""COMPUTED_VALUE"""),16.0)</f>
        <v>16</v>
      </c>
      <c r="AF33" s="216">
        <f t="shared" si="6"/>
        <v>1</v>
      </c>
      <c r="AG33" s="1110">
        <f>IFERROR(__xludf.DUMMYFUNCTION("""COMPUTED_VALUE"""),90.11666666666666)</f>
        <v>90.11666667</v>
      </c>
      <c r="AH33" s="216">
        <f>IFERROR(__xludf.DUMMYFUNCTION("""COMPUTED_VALUE"""),142.0)</f>
        <v>142</v>
      </c>
      <c r="AI33" s="188"/>
      <c r="AJ33" s="188"/>
      <c r="AK33" s="1105"/>
      <c r="AL33" s="172"/>
      <c r="AM33" s="216"/>
      <c r="AN33" s="216"/>
      <c r="AO33" s="1109"/>
      <c r="AP33" s="216">
        <f t="shared" si="7"/>
        <v>0</v>
      </c>
      <c r="AQ33" s="1110"/>
      <c r="AR33" s="216"/>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96">
        <v>2374.0</v>
      </c>
      <c r="C34" s="1124" t="s">
        <v>501</v>
      </c>
      <c r="D34" s="1098" t="s">
        <v>90</v>
      </c>
      <c r="E34" s="1098" t="s">
        <v>817</v>
      </c>
      <c r="F34" s="1099">
        <f t="shared" si="2"/>
        <v>7</v>
      </c>
      <c r="G34" s="1100" t="str">
        <f t="shared" si="3"/>
        <v>該当</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40.71666667</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IFERROR(__xludf.DUMMYFUNCTION("""COMPUTED_VALUE"""),7.0)</f>
        <v>7</v>
      </c>
      <c r="AF34" s="216">
        <f t="shared" si="6"/>
        <v>0</v>
      </c>
      <c r="AG34" s="1110">
        <f>IFERROR(__xludf.DUMMYFUNCTION("""COMPUTED_VALUE"""),40.71666666666667)</f>
        <v>40.71666667</v>
      </c>
      <c r="AH34" s="216">
        <f>IFERROR(__xludf.DUMMYFUNCTION("""COMPUTED_VALUE"""),0.0)</f>
        <v>0</v>
      </c>
      <c r="AI34" s="188"/>
      <c r="AJ34" s="188"/>
      <c r="AK34" s="1105"/>
      <c r="AL34" s="172"/>
      <c r="AM34" s="216"/>
      <c r="AN34" s="216"/>
      <c r="AO34" s="1109"/>
      <c r="AP34" s="216">
        <f t="shared" si="7"/>
        <v>0</v>
      </c>
      <c r="AQ34" s="1110"/>
      <c r="AR34" s="216"/>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96">
        <v>431.0</v>
      </c>
      <c r="C35" s="1124" t="s">
        <v>490</v>
      </c>
      <c r="D35" s="1098" t="s">
        <v>90</v>
      </c>
      <c r="E35" s="1098" t="s">
        <v>903</v>
      </c>
      <c r="F35" s="1099">
        <f t="shared" si="2"/>
        <v>0</v>
      </c>
      <c r="G35" s="1100" t="str">
        <f t="shared" si="3"/>
        <v>該当</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c r="AO35" s="1109"/>
      <c r="AP35" s="216">
        <f t="shared" si="7"/>
        <v>0</v>
      </c>
      <c r="AQ35" s="1110"/>
      <c r="AR35" s="216"/>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96">
        <v>1717.0</v>
      </c>
      <c r="C36" s="1124" t="s">
        <v>478</v>
      </c>
      <c r="D36" s="1098" t="s">
        <v>90</v>
      </c>
      <c r="E36" s="1098" t="s">
        <v>903</v>
      </c>
      <c r="F36" s="1099">
        <f t="shared" si="2"/>
        <v>1</v>
      </c>
      <c r="G36" s="1100" t="str">
        <f t="shared" si="3"/>
        <v>該当</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5</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c r="AO36" s="1109"/>
      <c r="AP36" s="216">
        <f t="shared" si="7"/>
        <v>0</v>
      </c>
      <c r="AQ36" s="1110"/>
      <c r="AR36" s="216"/>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903</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c r="AO37" s="1109"/>
      <c r="AP37" s="216">
        <f t="shared" si="7"/>
        <v>0</v>
      </c>
      <c r="AQ37" s="1110"/>
      <c r="AR37" s="216"/>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903</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c r="AO38" s="1109"/>
      <c r="AP38" s="216">
        <f t="shared" si="7"/>
        <v>0</v>
      </c>
      <c r="AQ38" s="216"/>
      <c r="AR38" s="216"/>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903</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c r="AO39" s="1109"/>
      <c r="AP39" s="216">
        <f t="shared" si="7"/>
        <v>0</v>
      </c>
      <c r="AQ39" s="216"/>
      <c r="AR39" s="216"/>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903</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c r="AO40" s="1109"/>
      <c r="AP40" s="216">
        <f t="shared" si="7"/>
        <v>0</v>
      </c>
      <c r="AQ40" s="216"/>
      <c r="AR40" s="216"/>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903</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c r="AO41" s="1109"/>
      <c r="AP41" s="216">
        <f t="shared" si="7"/>
        <v>0</v>
      </c>
      <c r="AQ41" s="216"/>
      <c r="AR41" s="216"/>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903</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c r="AO42" s="1109"/>
      <c r="AP42" s="216">
        <f t="shared" si="7"/>
        <v>0</v>
      </c>
      <c r="AQ42" s="216"/>
      <c r="AR42" s="216"/>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903</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c r="AO43" s="1109"/>
      <c r="AP43" s="216">
        <f t="shared" si="7"/>
        <v>0</v>
      </c>
      <c r="AQ43" s="216"/>
      <c r="AR43" s="216"/>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903</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c r="AO44" s="1109"/>
      <c r="AP44" s="216">
        <f t="shared" si="7"/>
        <v>0</v>
      </c>
      <c r="AQ44" s="216"/>
      <c r="AR44" s="216"/>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903</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c r="AO45" s="1109"/>
      <c r="AP45" s="216">
        <f t="shared" si="7"/>
        <v>0</v>
      </c>
      <c r="AQ45" s="216"/>
      <c r="AR45" s="216"/>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903</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c r="AO46" s="1109"/>
      <c r="AP46" s="216">
        <f t="shared" si="7"/>
        <v>0</v>
      </c>
      <c r="AQ46" s="216"/>
      <c r="AR46" s="216"/>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903</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c r="AO47" s="1109"/>
      <c r="AP47" s="216">
        <f t="shared" si="7"/>
        <v>0</v>
      </c>
      <c r="AQ47" s="216"/>
      <c r="AR47" s="216"/>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903</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c r="AO48" s="1109"/>
      <c r="AP48" s="216">
        <f t="shared" si="7"/>
        <v>0</v>
      </c>
      <c r="AQ48" s="216"/>
      <c r="AR48" s="216"/>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903</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c r="AO49" s="1109"/>
      <c r="AP49" s="216">
        <f t="shared" si="7"/>
        <v>0</v>
      </c>
      <c r="AQ49" s="216"/>
      <c r="AR49" s="216"/>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903</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c r="AO50" s="1109"/>
      <c r="AP50" s="216">
        <f t="shared" si="7"/>
        <v>0</v>
      </c>
      <c r="AQ50" s="216"/>
      <c r="AR50" s="216"/>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903</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c r="AO51" s="1109"/>
      <c r="AP51" s="216">
        <f t="shared" si="7"/>
        <v>0</v>
      </c>
      <c r="AQ51" s="216"/>
      <c r="AR51" s="216"/>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903</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c r="AO52" s="1109"/>
      <c r="AP52" s="216">
        <f t="shared" si="7"/>
        <v>0</v>
      </c>
      <c r="AQ52" s="216"/>
      <c r="AR52" s="216"/>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903</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c r="AO53" s="1109"/>
      <c r="AP53" s="216">
        <f t="shared" si="7"/>
        <v>0</v>
      </c>
      <c r="AQ53" s="216"/>
      <c r="AR53" s="216"/>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903</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c r="AO54" s="1109"/>
      <c r="AP54" s="216">
        <f t="shared" si="7"/>
        <v>0</v>
      </c>
      <c r="AQ54" s="216"/>
      <c r="AR54" s="216"/>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903</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c r="AO55" s="1109"/>
      <c r="AP55" s="216">
        <f t="shared" si="7"/>
        <v>0</v>
      </c>
      <c r="AQ55" s="216"/>
      <c r="AR55" s="216"/>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903</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c r="AO56" s="1109"/>
      <c r="AP56" s="216">
        <f t="shared" si="7"/>
        <v>0</v>
      </c>
      <c r="AQ56" s="216"/>
      <c r="AR56" s="216"/>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903</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c r="AO57" s="1109"/>
      <c r="AP57" s="216">
        <f t="shared" si="7"/>
        <v>0</v>
      </c>
      <c r="AQ57" s="216"/>
      <c r="AR57" s="216"/>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903</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c r="AO58" s="1109"/>
      <c r="AP58" s="216">
        <f t="shared" si="7"/>
        <v>0</v>
      </c>
      <c r="AQ58" s="216"/>
      <c r="AR58" s="216"/>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903</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c r="AO59" s="1109"/>
      <c r="AP59" s="216">
        <f t="shared" si="7"/>
        <v>0</v>
      </c>
      <c r="AQ59" s="216"/>
      <c r="AR59" s="216"/>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903</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c r="AO60" s="1109"/>
      <c r="AP60" s="216">
        <f t="shared" si="7"/>
        <v>0</v>
      </c>
      <c r="AQ60" s="216"/>
      <c r="AR60" s="216"/>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903</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c r="AO61" s="1109"/>
      <c r="AP61" s="216">
        <f t="shared" si="7"/>
        <v>0</v>
      </c>
      <c r="AQ61" s="216"/>
      <c r="AR61" s="216"/>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903</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c r="AO62" s="1109"/>
      <c r="AP62" s="216">
        <f t="shared" si="7"/>
        <v>0</v>
      </c>
      <c r="AQ62" s="216"/>
      <c r="AR62" s="216"/>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903</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c r="AO63" s="1109"/>
      <c r="AP63" s="216">
        <f t="shared" si="7"/>
        <v>0</v>
      </c>
      <c r="AQ63" s="216"/>
      <c r="AR63" s="216"/>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903</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c r="AO64" s="1109"/>
      <c r="AP64" s="216">
        <f t="shared" si="7"/>
        <v>0</v>
      </c>
      <c r="AQ64" s="216"/>
      <c r="AR64" s="216"/>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903</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c r="AO65" s="1109"/>
      <c r="AP65" s="216">
        <f t="shared" si="7"/>
        <v>0</v>
      </c>
      <c r="AQ65" s="216"/>
      <c r="AR65" s="216"/>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903</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c r="AO66" s="1109"/>
      <c r="AP66" s="216">
        <f t="shared" si="7"/>
        <v>0</v>
      </c>
      <c r="AQ66" s="216"/>
      <c r="AR66" s="216"/>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903</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c r="AO67" s="1109"/>
      <c r="AP67" s="216">
        <f t="shared" si="7"/>
        <v>0</v>
      </c>
      <c r="AQ67" s="216"/>
      <c r="AR67" s="216"/>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903</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c r="AO68" s="1109"/>
      <c r="AP68" s="216">
        <f t="shared" si="7"/>
        <v>0</v>
      </c>
      <c r="AQ68" s="216"/>
      <c r="AR68" s="216"/>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903</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c r="AO69" s="1109"/>
      <c r="AP69" s="216">
        <f t="shared" si="7"/>
        <v>0</v>
      </c>
      <c r="AQ69" s="216"/>
      <c r="AR69" s="216"/>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903</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c r="AO70" s="1109"/>
      <c r="AP70" s="216">
        <f t="shared" si="7"/>
        <v>0</v>
      </c>
      <c r="AQ70" s="216"/>
      <c r="AR70" s="216"/>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903</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c r="AO71" s="1109"/>
      <c r="AP71" s="216">
        <f t="shared" si="7"/>
        <v>0</v>
      </c>
      <c r="AQ71" s="216"/>
      <c r="AR71" s="216"/>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903</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c r="AO72" s="1109"/>
      <c r="AP72" s="216">
        <f t="shared" si="7"/>
        <v>0</v>
      </c>
      <c r="AQ72" s="216"/>
      <c r="AR72" s="216"/>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903</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c r="AO73" s="1109"/>
      <c r="AP73" s="216">
        <f t="shared" si="7"/>
        <v>0</v>
      </c>
      <c r="AQ73" s="216"/>
      <c r="AR73" s="216"/>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903</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c r="AO74" s="1109"/>
      <c r="AP74" s="216">
        <f t="shared" si="7"/>
        <v>0</v>
      </c>
      <c r="AQ74" s="216"/>
      <c r="AR74" s="216"/>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903</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c r="AO75" s="1109"/>
      <c r="AP75" s="216">
        <f t="shared" si="7"/>
        <v>0</v>
      </c>
      <c r="AQ75" s="216"/>
      <c r="AR75" s="216"/>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903</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c r="AO76" s="1109"/>
      <c r="AP76" s="216">
        <f t="shared" si="7"/>
        <v>0</v>
      </c>
      <c r="AQ76" s="216"/>
      <c r="AR76" s="216"/>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903</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c r="AO77" s="1109"/>
      <c r="AP77" s="216">
        <f t="shared" si="7"/>
        <v>0</v>
      </c>
      <c r="AQ77" s="216"/>
      <c r="AR77" s="216"/>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903</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c r="AO78" s="1109"/>
      <c r="AP78" s="216">
        <f t="shared" si="7"/>
        <v>0</v>
      </c>
      <c r="AQ78" s="216"/>
      <c r="AR78" s="216"/>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903</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c r="AO79" s="1109"/>
      <c r="AP79" s="216">
        <f t="shared" si="7"/>
        <v>0</v>
      </c>
      <c r="AQ79" s="216"/>
      <c r="AR79" s="216"/>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903</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c r="AO80" s="1109"/>
      <c r="AP80" s="216">
        <f t="shared" si="7"/>
        <v>0</v>
      </c>
      <c r="AQ80" s="216"/>
      <c r="AR80" s="216"/>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903</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c r="AO81" s="1109"/>
      <c r="AP81" s="216">
        <f t="shared" si="7"/>
        <v>0</v>
      </c>
      <c r="AQ81" s="216"/>
      <c r="AR81" s="216"/>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903</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c r="AO82" s="1109"/>
      <c r="AP82" s="216">
        <f t="shared" si="7"/>
        <v>0</v>
      </c>
      <c r="AQ82" s="216"/>
      <c r="AR82" s="216"/>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903</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c r="AO83" s="1109"/>
      <c r="AP83" s="216">
        <f t="shared" si="7"/>
        <v>0</v>
      </c>
      <c r="AQ83" s="216"/>
      <c r="AR83" s="216"/>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903</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c r="AO84" s="1109"/>
      <c r="AP84" s="216">
        <f t="shared" si="7"/>
        <v>0</v>
      </c>
      <c r="AQ84" s="216"/>
      <c r="AR84" s="216"/>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903</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c r="AO85" s="1109"/>
      <c r="AP85" s="216">
        <f t="shared" si="7"/>
        <v>0</v>
      </c>
      <c r="AQ85" s="216"/>
      <c r="AR85" s="216"/>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903</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c r="AO86" s="1109"/>
      <c r="AP86" s="216">
        <f t="shared" si="7"/>
        <v>0</v>
      </c>
      <c r="AQ86" s="216"/>
      <c r="AR86" s="216"/>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903</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c r="AO87" s="1109"/>
      <c r="AP87" s="216">
        <f t="shared" si="7"/>
        <v>0</v>
      </c>
      <c r="AQ87" s="216"/>
      <c r="AR87" s="216"/>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903</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c r="AO88" s="1109"/>
      <c r="AP88" s="216">
        <f t="shared" si="7"/>
        <v>0</v>
      </c>
      <c r="AQ88" s="216"/>
      <c r="AR88" s="216"/>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903</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c r="AO89" s="1109"/>
      <c r="AP89" s="216">
        <f t="shared" si="7"/>
        <v>0</v>
      </c>
      <c r="AQ89" s="216"/>
      <c r="AR89" s="216"/>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903</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c r="AO90" s="1109"/>
      <c r="AP90" s="216">
        <f t="shared" si="7"/>
        <v>0</v>
      </c>
      <c r="AQ90" s="216"/>
      <c r="AR90" s="216"/>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903</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c r="AO91" s="1109"/>
      <c r="AP91" s="216">
        <f t="shared" si="7"/>
        <v>0</v>
      </c>
      <c r="AQ91" s="216"/>
      <c r="AR91" s="216"/>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903</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903</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903</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903</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903</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903</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903</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241618086" ref="C6"/>
    <hyperlink r:id="rId8" location="gid=45237857" ref="M6"/>
    <hyperlink r:id="rId9" ref="P6"/>
    <hyperlink r:id="rId10" location="gid=1112583954" ref="R6"/>
    <hyperlink r:id="rId11" location="gid=1241618086" ref="AB6"/>
    <hyperlink r:id="rId12" location="gid=837086889" ref="C7"/>
    <hyperlink r:id="rId13" location="gid=1579932127" ref="M7"/>
    <hyperlink r:id="rId14" location="gid=159226219" ref="R7"/>
    <hyperlink r:id="rId15" location="gid=837086889" ref="AB7"/>
    <hyperlink r:id="rId16" location="gid=733894669" ref="C8"/>
    <hyperlink r:id="rId17" location="gid=503103430" ref="R8"/>
    <hyperlink r:id="rId18" location="gid=733894669" ref="AB8"/>
    <hyperlink r:id="rId19" location="gid=719585847" ref="C9"/>
    <hyperlink r:id="rId20" location="gid=1290986832" ref="R9"/>
    <hyperlink r:id="rId21" location="gid=719585847" ref="AB9"/>
    <hyperlink r:id="rId22" location="gid=425875516" ref="C10"/>
    <hyperlink r:id="rId23" location="gid=1434725912" ref="R10"/>
    <hyperlink r:id="rId24" location="gid=425875516" ref="AB10"/>
    <hyperlink r:id="rId25" location="gid=456587221" ref="C11"/>
    <hyperlink r:id="rId26" location="gid=1181763681" ref="R11"/>
    <hyperlink r:id="rId27" location="gid=456587221" ref="AB11"/>
    <hyperlink r:id="rId28" location="gid=1112583954" ref="C12"/>
    <hyperlink r:id="rId29" location="gid=1727071689" ref="R12"/>
    <hyperlink r:id="rId30" location="gid=1112583954" ref="AB12"/>
    <hyperlink r:id="rId31" location="gid=426518250" ref="C13"/>
    <hyperlink r:id="rId32" location="gid=733894669" ref="R13"/>
    <hyperlink r:id="rId33" location="gid=426518250" ref="AB13"/>
    <hyperlink r:id="rId34" location="gid=1607566136" ref="C14"/>
    <hyperlink r:id="rId35" location="gid=377138227" ref="R14"/>
    <hyperlink r:id="rId36" location="gid=1607566136" ref="AB14"/>
    <hyperlink r:id="rId37" location="gid=1056418070" ref="C15"/>
    <hyperlink r:id="rId38" location="gid=296587444" ref="R15"/>
    <hyperlink r:id="rId39" location="gid=1056418070" ref="AB15"/>
    <hyperlink r:id="rId40" location="gid=1524800819" ref="C16"/>
    <hyperlink r:id="rId41" location="gid=469538397" ref="R16"/>
    <hyperlink r:id="rId42" location="gid=1524800819" ref="AB16"/>
    <hyperlink r:id="rId43" location="gid=328616878" ref="C17"/>
    <hyperlink r:id="rId44" location="gid=719585847" ref="R17"/>
    <hyperlink r:id="rId45" location="gid=328616878" ref="AB17"/>
    <hyperlink r:id="rId46" location="gid=1881408270" ref="C18"/>
    <hyperlink r:id="rId47" location="gid=425875516" ref="R18"/>
    <hyperlink r:id="rId48" location="gid=1881408270" ref="AB18"/>
    <hyperlink r:id="rId49" location="gid=159226219" ref="C19"/>
    <hyperlink r:id="rId50" location="gid=426518250" ref="R19"/>
    <hyperlink r:id="rId51" location="gid=159226219" ref="AB19"/>
    <hyperlink r:id="rId52" location="gid=503103430" ref="C20"/>
    <hyperlink r:id="rId53" location="gid=532546733" ref="R20"/>
    <hyperlink r:id="rId54" location="gid=503103430" ref="AB20"/>
    <hyperlink r:id="rId55" location="gid=1181763681" ref="C21"/>
    <hyperlink r:id="rId56" location="gid=1607566136" ref="R21"/>
    <hyperlink r:id="rId57" location="gid=1181763681" ref="AB21"/>
    <hyperlink r:id="rId58" location="gid=1727071689" ref="C22"/>
    <hyperlink r:id="rId59" location="gid=1056418070" ref="R22"/>
    <hyperlink r:id="rId60" location="gid=1727071689" ref="AB22"/>
    <hyperlink r:id="rId61" location="gid=1290986832" ref="C23"/>
    <hyperlink r:id="rId62" location="gid=1776673274" ref="R23"/>
    <hyperlink r:id="rId63" location="gid=1290986832" ref="AB23"/>
    <hyperlink r:id="rId64" location="gid=1434725912" ref="C24"/>
    <hyperlink r:id="rId65" location="gid=1524800819" ref="R24"/>
    <hyperlink r:id="rId66" location="gid=1434725912" ref="AB24"/>
    <hyperlink r:id="rId67" location="gid=1074995461" ref="C25"/>
    <hyperlink r:id="rId68" location="gid=639748185" ref="R25"/>
    <hyperlink r:id="rId69" location="gid=1074995461" ref="AB25"/>
    <hyperlink r:id="rId70" location="gid=1335988509" ref="C26"/>
    <hyperlink r:id="rId71" location="gid=328616878" ref="R26"/>
    <hyperlink r:id="rId72" location="gid=1335988509" ref="AB26"/>
    <hyperlink r:id="rId73" location="gid=1897338879" ref="C27"/>
    <hyperlink r:id="rId74" location="gid=1881408270" ref="R27"/>
    <hyperlink r:id="rId75" location="gid=1897338879" ref="AB27"/>
    <hyperlink r:id="rId76" location="gid=1699529346" ref="C28"/>
    <hyperlink r:id="rId77" location="gid=1074995461" ref="R28"/>
    <hyperlink r:id="rId78" location="gid=1699529346" ref="AB28"/>
    <hyperlink r:id="rId79" location="gid=1516328551" ref="C29"/>
    <hyperlink r:id="rId80" location="gid=1335988509" ref="R29"/>
    <hyperlink r:id="rId81" location="gid=1516328551" ref="AB29"/>
    <hyperlink r:id="rId82" location="gid=1116871760" ref="C30"/>
    <hyperlink r:id="rId83" location="gid=1897338879" ref="R30"/>
    <hyperlink r:id="rId84" location="gid=1116871760" ref="AB30"/>
    <hyperlink r:id="rId85" location="gid=1680756554" ref="C31"/>
    <hyperlink r:id="rId86" location="gid=1699529346" ref="R31"/>
    <hyperlink r:id="rId87" location="gid=1680756554" ref="AB31"/>
    <hyperlink r:id="rId88" location="gid=1815617481" ref="C32"/>
    <hyperlink r:id="rId89" location="gid=1516328551" ref="R32"/>
    <hyperlink r:id="rId90" location="gid=1815617481" ref="AB32"/>
    <hyperlink r:id="rId91" location="gid=888624501" ref="C33"/>
    <hyperlink r:id="rId92" location="gid=1241618086" ref="R33"/>
    <hyperlink r:id="rId93" location="gid=888624501" ref="AB33"/>
    <hyperlink r:id="rId94" location="gid=422519303" ref="C34"/>
    <hyperlink r:id="rId95" location="gid=1116871760" ref="R34"/>
    <hyperlink r:id="rId96" location="gid=422519303" ref="AB34"/>
    <hyperlink r:id="rId97" location="gid=532546733" ref="C35"/>
    <hyperlink r:id="rId98" location="gid=1680756554" ref="R35"/>
    <hyperlink r:id="rId99" location="gid=532546733" ref="AB35"/>
    <hyperlink r:id="rId100" location="gid=844883167" ref="C36"/>
    <hyperlink r:id="rId101" location="gid=844883167" ref="AB36"/>
    <hyperlink r:id="rId102" location="gid=1504614731" ref="M44"/>
    <hyperlink display="②R8_4シフト" location="null!A1" ref="M45"/>
    <hyperlink r:id="rId103" location="gid=293381066" ref="M46"/>
    <hyperlink r:id="rId104" location="gid=1382101940" ref="M47"/>
    <hyperlink r:id="rId105" location="gid=987986399" ref="M48"/>
    <hyperlink r:id="rId106" location="gid=1478534262" ref="M49"/>
    <hyperlink r:id="rId107" location="gid=1935386652" ref="M50"/>
    <hyperlink r:id="rId108" location="gid=1754586765" ref="M51"/>
    <hyperlink r:id="rId109" location="gid=127004092" ref="M52"/>
    <hyperlink r:id="rId110" location="gid=916789345" ref="M53"/>
    <hyperlink r:id="rId111" location="gid=2025791571" ref="M54"/>
    <hyperlink r:id="rId112" location="gid=23138481" ref="M55"/>
    <hyperlink r:id="rId113" location="gid=2052921190" ref="M56"/>
    <hyperlink r:id="rId114" location="gid=1192717870" ref="M57"/>
    <hyperlink r:id="rId115" location="gid=904363473" ref="M58"/>
    <hyperlink r:id="rId116" location="gid=1382810097" ref="M59"/>
    <hyperlink r:id="rId117" location="gid=568339025" ref="M60"/>
    <hyperlink r:id="rId118" location="gid=1169517304" ref="M61"/>
    <hyperlink r:id="rId119" location="gid=691009299" ref="M62"/>
    <hyperlink r:id="rId120" location="gid=514129956" ref="M63"/>
    <hyperlink r:id="rId121" location="gid=84296321" ref="R99"/>
    <hyperlink r:id="rId122" location="gid=84296321" ref="AB99"/>
    <hyperlink r:id="rId123" location="gid=84296321" ref="AL99"/>
    <hyperlink r:id="rId124" location="gid=84296321" ref="AV99"/>
    <hyperlink r:id="rId125" location="gid=84296321" ref="BF99"/>
    <hyperlink r:id="rId126" location="gid=84296321" ref="BP99"/>
    <hyperlink r:id="rId127" location="gid=84296321" ref="BZ99"/>
    <hyperlink r:id="rId128" location="gid=84296321" ref="CJ99"/>
    <hyperlink r:id="rId129" location="gid=84296321" ref="CT99"/>
    <hyperlink r:id="rId130" location="gid=84296321" ref="DD99"/>
    <hyperlink r:id="rId131" location="gid=84296321" ref="DN99"/>
    <hyperlink r:id="rId132" location="gid=84296321" ref="DX99"/>
    <hyperlink r:id="rId133" location="gid=84296321" ref="R100"/>
    <hyperlink r:id="rId134" location="gid=84296321" ref="AB100"/>
    <hyperlink r:id="rId135" location="gid=84296321" ref="AL100"/>
    <hyperlink r:id="rId136" location="gid=84296321" ref="AV100"/>
    <hyperlink r:id="rId137" location="gid=84296321" ref="BF100"/>
    <hyperlink r:id="rId138" location="gid=84296321" ref="BP100"/>
    <hyperlink r:id="rId139" location="gid=84296321" ref="BZ100"/>
    <hyperlink r:id="rId140" location="gid=84296321" ref="CJ100"/>
    <hyperlink r:id="rId141" location="gid=84296321" ref="CT100"/>
    <hyperlink r:id="rId142" location="gid=84296321" ref="DD100"/>
    <hyperlink r:id="rId143" location="gid=84296321" ref="DN100"/>
    <hyperlink r:id="rId144" location="gid=84296321" ref="DX100"/>
    <hyperlink r:id="rId145" location="gid=84296321" ref="R101"/>
    <hyperlink r:id="rId146" location="gid=84296321" ref="AB101"/>
    <hyperlink r:id="rId147" location="gid=84296321" ref="AL101"/>
    <hyperlink r:id="rId148" location="gid=84296321" ref="AV101"/>
    <hyperlink r:id="rId149" location="gid=84296321" ref="BF101"/>
    <hyperlink r:id="rId150" location="gid=84296321" ref="BP101"/>
    <hyperlink r:id="rId151" location="gid=84296321" ref="BZ101"/>
    <hyperlink r:id="rId152" location="gid=84296321" ref="CJ101"/>
    <hyperlink r:id="rId153" location="gid=84296321" ref="CT101"/>
    <hyperlink r:id="rId154" location="gid=84296321" ref="DD101"/>
    <hyperlink r:id="rId155" location="gid=84296321" ref="DN101"/>
    <hyperlink r:id="rId156" location="gid=84296321" ref="DX101"/>
    <hyperlink r:id="rId157" location="gid=84296321" ref="R102"/>
    <hyperlink r:id="rId158" location="gid=84296321" ref="AB102"/>
    <hyperlink r:id="rId159" location="gid=84296321" ref="AL102"/>
    <hyperlink r:id="rId160" location="gid=84296321" ref="AV102"/>
    <hyperlink r:id="rId161" location="gid=84296321" ref="BF102"/>
    <hyperlink r:id="rId162" location="gid=84296321" ref="BP102"/>
    <hyperlink r:id="rId163" location="gid=84296321" ref="BZ102"/>
    <hyperlink r:id="rId164" location="gid=84296321" ref="CJ102"/>
    <hyperlink r:id="rId165" location="gid=84296321" ref="CT102"/>
    <hyperlink r:id="rId166" location="gid=84296321" ref="DD102"/>
    <hyperlink r:id="rId167" location="gid=84296321" ref="DN102"/>
    <hyperlink r:id="rId168" location="gid=84296321" ref="DX102"/>
    <hyperlink r:id="rId169" location="gid=84296321" ref="R103"/>
    <hyperlink r:id="rId170" location="gid=84296321" ref="AB103"/>
    <hyperlink r:id="rId171" location="gid=84296321" ref="AL103"/>
    <hyperlink r:id="rId172" location="gid=84296321" ref="AV103"/>
    <hyperlink r:id="rId173" location="gid=84296321" ref="BF103"/>
    <hyperlink r:id="rId174" location="gid=84296321" ref="BP103"/>
    <hyperlink r:id="rId175" location="gid=84296321" ref="BZ103"/>
    <hyperlink r:id="rId176" location="gid=84296321" ref="CJ103"/>
    <hyperlink r:id="rId177" location="gid=84296321" ref="CT103"/>
    <hyperlink r:id="rId178" location="gid=84296321" ref="DD103"/>
    <hyperlink r:id="rId179" location="gid=84296321" ref="DN103"/>
    <hyperlink r:id="rId180" location="gid=84296321" ref="DX103"/>
    <hyperlink r:id="rId181" location="gid=84296321" ref="R104"/>
    <hyperlink r:id="rId182" location="gid=84296321" ref="AB104"/>
    <hyperlink r:id="rId183" location="gid=84296321" ref="AL104"/>
    <hyperlink r:id="rId184" location="gid=84296321" ref="AV104"/>
    <hyperlink r:id="rId185" location="gid=84296321" ref="BF104"/>
    <hyperlink r:id="rId186" location="gid=84296321" ref="BP104"/>
    <hyperlink r:id="rId187" location="gid=84296321" ref="BZ104"/>
    <hyperlink r:id="rId188" location="gid=84296321" ref="CJ104"/>
    <hyperlink r:id="rId189" location="gid=84296321" ref="CT104"/>
    <hyperlink r:id="rId190" location="gid=84296321" ref="DD104"/>
    <hyperlink r:id="rId191" location="gid=84296321" ref="DN104"/>
    <hyperlink r:id="rId192" location="gid=84296321" ref="DX104"/>
    <hyperlink r:id="rId193" location="gid=84296321" ref="R105"/>
    <hyperlink r:id="rId194" location="gid=84296321" ref="AB105"/>
    <hyperlink r:id="rId195" location="gid=84296321" ref="AL105"/>
    <hyperlink r:id="rId196" location="gid=84296321" ref="AV105"/>
    <hyperlink r:id="rId197" location="gid=84296321" ref="BF105"/>
    <hyperlink r:id="rId198" location="gid=84296321" ref="BP105"/>
    <hyperlink r:id="rId199" location="gid=84296321" ref="BZ105"/>
    <hyperlink r:id="rId200" location="gid=84296321" ref="CJ105"/>
    <hyperlink r:id="rId201" location="gid=84296321" ref="CT105"/>
    <hyperlink r:id="rId202" location="gid=84296321" ref="DD105"/>
    <hyperlink r:id="rId203" location="gid=84296321" ref="DN105"/>
    <hyperlink r:id="rId204" location="gid=84296321" ref="DX105"/>
    <hyperlink r:id="rId205" location="gid=84296321" ref="R106"/>
    <hyperlink r:id="rId206" location="gid=84296321" ref="AB106"/>
    <hyperlink r:id="rId207" location="gid=84296321" ref="AL106"/>
    <hyperlink r:id="rId208" location="gid=84296321" ref="AV106"/>
    <hyperlink r:id="rId209" location="gid=84296321" ref="BF106"/>
    <hyperlink r:id="rId210" location="gid=84296321" ref="BP106"/>
    <hyperlink r:id="rId211" location="gid=84296321" ref="BZ106"/>
    <hyperlink r:id="rId212" location="gid=84296321" ref="CJ106"/>
    <hyperlink r:id="rId213" location="gid=84296321" ref="CT106"/>
    <hyperlink r:id="rId214" location="gid=84296321" ref="DD106"/>
    <hyperlink r:id="rId215" location="gid=84296321" ref="DN106"/>
    <hyperlink r:id="rId216" location="gid=84296321" ref="DX106"/>
    <hyperlink r:id="rId217" location="gid=84296321" ref="R107"/>
    <hyperlink r:id="rId218" location="gid=84296321" ref="AB107"/>
    <hyperlink r:id="rId219" location="gid=84296321" ref="AL107"/>
    <hyperlink r:id="rId220" location="gid=84296321" ref="AV107"/>
    <hyperlink r:id="rId221" location="gid=84296321" ref="BF107"/>
    <hyperlink r:id="rId222" location="gid=84296321" ref="BP107"/>
    <hyperlink r:id="rId223" location="gid=84296321" ref="BZ107"/>
    <hyperlink r:id="rId224" location="gid=84296321" ref="CJ107"/>
    <hyperlink r:id="rId225" location="gid=84296321" ref="CT107"/>
    <hyperlink r:id="rId226" location="gid=84296321" ref="DD107"/>
    <hyperlink r:id="rId227" location="gid=84296321" ref="DN107"/>
    <hyperlink r:id="rId228" location="gid=84296321" ref="DX107"/>
    <hyperlink r:id="rId229" location="gid=84296321" ref="R108"/>
    <hyperlink r:id="rId230" location="gid=84296321" ref="AB108"/>
    <hyperlink r:id="rId231" location="gid=84296321" ref="AL108"/>
    <hyperlink r:id="rId232" location="gid=84296321" ref="AV108"/>
    <hyperlink r:id="rId233" location="gid=84296321" ref="BF108"/>
    <hyperlink r:id="rId234" location="gid=84296321" ref="BP108"/>
    <hyperlink r:id="rId235" location="gid=84296321" ref="BZ108"/>
    <hyperlink r:id="rId236" location="gid=84296321" ref="CJ108"/>
    <hyperlink r:id="rId237" location="gid=84296321" ref="CT108"/>
    <hyperlink r:id="rId238" location="gid=84296321" ref="DD108"/>
    <hyperlink r:id="rId239" location="gid=84296321" ref="DN108"/>
    <hyperlink r:id="rId240" location="gid=84296321" ref="DX108"/>
    <hyperlink r:id="rId241" location="gid=84296321" ref="R109"/>
    <hyperlink r:id="rId242" location="gid=84296321" ref="AB109"/>
    <hyperlink r:id="rId243" location="gid=84296321" ref="AL109"/>
    <hyperlink r:id="rId244" location="gid=84296321" ref="AV109"/>
    <hyperlink r:id="rId245" location="gid=84296321" ref="BF109"/>
    <hyperlink r:id="rId246" location="gid=84296321" ref="BP109"/>
    <hyperlink r:id="rId247" location="gid=84296321" ref="BZ109"/>
    <hyperlink r:id="rId248" location="gid=84296321" ref="CJ109"/>
    <hyperlink r:id="rId249" location="gid=84296321" ref="CT109"/>
    <hyperlink r:id="rId250" location="gid=84296321" ref="DD109"/>
    <hyperlink r:id="rId251" location="gid=84296321" ref="DN109"/>
    <hyperlink r:id="rId252" location="gid=84296321" ref="DX109"/>
    <hyperlink r:id="rId253" location="gid=84296321" ref="R110"/>
    <hyperlink r:id="rId254" location="gid=84296321" ref="AB110"/>
    <hyperlink r:id="rId255" location="gid=84296321" ref="AL110"/>
    <hyperlink r:id="rId256" location="gid=84296321" ref="AV110"/>
    <hyperlink r:id="rId257" location="gid=84296321" ref="BF110"/>
    <hyperlink r:id="rId258" location="gid=84296321" ref="BP110"/>
    <hyperlink r:id="rId259" location="gid=84296321" ref="BZ110"/>
    <hyperlink r:id="rId260" location="gid=84296321" ref="CJ110"/>
    <hyperlink r:id="rId261" location="gid=84296321" ref="CT110"/>
    <hyperlink r:id="rId262" location="gid=84296321" ref="DD110"/>
    <hyperlink r:id="rId263" location="gid=84296321" ref="DN110"/>
    <hyperlink r:id="rId264" location="gid=84296321" ref="DX110"/>
    <hyperlink r:id="rId265" location="gid=84296321" ref="R111"/>
    <hyperlink r:id="rId266" location="gid=84296321" ref="AB111"/>
    <hyperlink r:id="rId267" location="gid=84296321" ref="AL111"/>
    <hyperlink r:id="rId268" location="gid=84296321" ref="AV111"/>
    <hyperlink r:id="rId269" location="gid=84296321" ref="BF111"/>
    <hyperlink r:id="rId270" location="gid=84296321" ref="BP111"/>
    <hyperlink r:id="rId271" location="gid=84296321" ref="BZ111"/>
    <hyperlink r:id="rId272" location="gid=84296321" ref="CJ111"/>
    <hyperlink r:id="rId273" location="gid=84296321" ref="CT111"/>
    <hyperlink r:id="rId274" location="gid=84296321" ref="DD111"/>
    <hyperlink r:id="rId275" location="gid=84296321" ref="DN111"/>
    <hyperlink r:id="rId276" location="gid=84296321" ref="DX111"/>
    <hyperlink r:id="rId277" location="gid=84296321" ref="R112"/>
    <hyperlink r:id="rId278" location="gid=84296321" ref="AB112"/>
    <hyperlink r:id="rId279" location="gid=84296321" ref="AL112"/>
    <hyperlink r:id="rId280" location="gid=84296321" ref="AV112"/>
    <hyperlink r:id="rId281" location="gid=84296321" ref="BF112"/>
    <hyperlink r:id="rId282" location="gid=84296321" ref="BP112"/>
    <hyperlink r:id="rId283" location="gid=84296321" ref="BZ112"/>
    <hyperlink r:id="rId284" location="gid=84296321" ref="CJ112"/>
    <hyperlink r:id="rId285" location="gid=84296321" ref="CT112"/>
    <hyperlink r:id="rId286" location="gid=84296321" ref="DD112"/>
    <hyperlink r:id="rId287" location="gid=84296321" ref="DN112"/>
    <hyperlink r:id="rId288" location="gid=84296321" ref="DX112"/>
    <hyperlink r:id="rId289" location="gid=84296321" ref="R113"/>
    <hyperlink r:id="rId290" location="gid=84296321" ref="AB113"/>
    <hyperlink r:id="rId291" location="gid=84296321" ref="AL113"/>
    <hyperlink r:id="rId292" location="gid=84296321" ref="AV113"/>
    <hyperlink r:id="rId293" location="gid=84296321" ref="BF113"/>
    <hyperlink r:id="rId294" location="gid=84296321" ref="BP113"/>
    <hyperlink r:id="rId295" location="gid=84296321" ref="BZ113"/>
    <hyperlink r:id="rId296" location="gid=84296321" ref="CJ113"/>
    <hyperlink r:id="rId297" location="gid=84296321" ref="CT113"/>
    <hyperlink r:id="rId298" location="gid=84296321" ref="DD113"/>
    <hyperlink r:id="rId299" location="gid=84296321" ref="DN113"/>
    <hyperlink r:id="rId300" location="gid=84296321" ref="DX113"/>
    <hyperlink r:id="rId301" location="gid=84296321" ref="R114"/>
    <hyperlink r:id="rId302" location="gid=84296321" ref="AB114"/>
    <hyperlink r:id="rId303" location="gid=84296321" ref="AL114"/>
    <hyperlink r:id="rId304" location="gid=84296321" ref="AV114"/>
    <hyperlink r:id="rId305" location="gid=84296321" ref="BF114"/>
    <hyperlink r:id="rId306" location="gid=84296321" ref="BP114"/>
    <hyperlink r:id="rId307" location="gid=84296321" ref="BZ114"/>
    <hyperlink r:id="rId308" location="gid=84296321" ref="CJ114"/>
    <hyperlink r:id="rId309" location="gid=84296321" ref="CT114"/>
    <hyperlink r:id="rId310" location="gid=84296321" ref="DD114"/>
    <hyperlink r:id="rId311" location="gid=84296321" ref="DN114"/>
    <hyperlink r:id="rId312" location="gid=84296321" ref="DX114"/>
    <hyperlink r:id="rId313" location="gid=84296321" ref="R115"/>
    <hyperlink r:id="rId314" location="gid=84296321" ref="AB115"/>
    <hyperlink r:id="rId315" location="gid=84296321" ref="AL115"/>
    <hyperlink r:id="rId316" location="gid=84296321" ref="AV115"/>
    <hyperlink r:id="rId317" location="gid=84296321" ref="BF115"/>
    <hyperlink r:id="rId318" location="gid=84296321" ref="BP115"/>
    <hyperlink r:id="rId319" location="gid=84296321" ref="BZ115"/>
    <hyperlink r:id="rId320" location="gid=84296321" ref="CJ115"/>
    <hyperlink r:id="rId321" location="gid=84296321" ref="CT115"/>
    <hyperlink r:id="rId322" location="gid=84296321" ref="DD115"/>
    <hyperlink r:id="rId323" location="gid=84296321" ref="DN115"/>
    <hyperlink r:id="rId324" location="gid=84296321" ref="DX115"/>
    <hyperlink r:id="rId325" location="gid=84296321" ref="R116"/>
    <hyperlink r:id="rId326" location="gid=84296321" ref="AB116"/>
    <hyperlink r:id="rId327" location="gid=84296321" ref="AL116"/>
    <hyperlink r:id="rId328" location="gid=84296321" ref="AV116"/>
    <hyperlink r:id="rId329" location="gid=84296321" ref="BF116"/>
    <hyperlink r:id="rId330" location="gid=84296321" ref="BP116"/>
    <hyperlink r:id="rId331" location="gid=84296321" ref="BZ116"/>
    <hyperlink r:id="rId332" location="gid=84296321" ref="CJ116"/>
    <hyperlink r:id="rId333" location="gid=84296321" ref="CT116"/>
    <hyperlink r:id="rId334" location="gid=84296321" ref="DD116"/>
    <hyperlink r:id="rId335" location="gid=84296321" ref="DN116"/>
    <hyperlink r:id="rId336" location="gid=84296321" ref="DX116"/>
    <hyperlink r:id="rId337" location="gid=84296321" ref="R117"/>
    <hyperlink r:id="rId338" location="gid=84296321" ref="AB117"/>
    <hyperlink r:id="rId339" location="gid=84296321" ref="AL117"/>
    <hyperlink r:id="rId340" location="gid=84296321" ref="AV117"/>
    <hyperlink r:id="rId341" location="gid=84296321" ref="BF117"/>
    <hyperlink r:id="rId342" location="gid=84296321" ref="BP117"/>
    <hyperlink r:id="rId343" location="gid=84296321" ref="BZ117"/>
    <hyperlink r:id="rId344" location="gid=84296321" ref="CJ117"/>
    <hyperlink r:id="rId345" location="gid=84296321" ref="CT117"/>
    <hyperlink r:id="rId346" location="gid=84296321" ref="DD117"/>
    <hyperlink r:id="rId347" location="gid=84296321" ref="DN117"/>
    <hyperlink r:id="rId348" location="gid=84296321" ref="DX117"/>
    <hyperlink r:id="rId349" location="gid=84296321" ref="R118"/>
    <hyperlink r:id="rId350" location="gid=84296321" ref="AB118"/>
    <hyperlink r:id="rId351" location="gid=84296321" ref="AL118"/>
    <hyperlink r:id="rId352" location="gid=84296321" ref="AV118"/>
    <hyperlink r:id="rId353" location="gid=84296321" ref="BF118"/>
    <hyperlink r:id="rId354" location="gid=84296321" ref="BP118"/>
    <hyperlink r:id="rId355" location="gid=84296321" ref="BZ118"/>
    <hyperlink r:id="rId356" location="gid=84296321" ref="CJ118"/>
    <hyperlink r:id="rId357" location="gid=84296321" ref="CT118"/>
    <hyperlink r:id="rId358" location="gid=84296321" ref="DD118"/>
    <hyperlink r:id="rId359" location="gid=84296321" ref="DN118"/>
    <hyperlink r:id="rId360" location="gid=84296321" ref="DX118"/>
    <hyperlink r:id="rId361" location="gid=84296321" ref="R119"/>
    <hyperlink r:id="rId362" location="gid=84296321" ref="AB119"/>
    <hyperlink r:id="rId363" location="gid=84296321" ref="AL119"/>
    <hyperlink r:id="rId364" location="gid=84296321" ref="AV119"/>
    <hyperlink r:id="rId365" location="gid=84296321" ref="BF119"/>
    <hyperlink r:id="rId366" location="gid=84296321" ref="BP119"/>
    <hyperlink r:id="rId367" location="gid=84296321" ref="BZ119"/>
    <hyperlink r:id="rId368" location="gid=84296321" ref="CJ119"/>
    <hyperlink r:id="rId369" location="gid=84296321" ref="CT119"/>
    <hyperlink r:id="rId370" location="gid=84296321" ref="DD119"/>
    <hyperlink r:id="rId371" location="gid=84296321" ref="DN119"/>
    <hyperlink r:id="rId372" location="gid=84296321" ref="DX119"/>
    <hyperlink r:id="rId373" location="gid=84296321" ref="R120"/>
    <hyperlink r:id="rId374" location="gid=84296321" ref="AB120"/>
    <hyperlink r:id="rId375" location="gid=84296321" ref="AL120"/>
    <hyperlink r:id="rId376" location="gid=84296321" ref="AV120"/>
    <hyperlink r:id="rId377" location="gid=84296321" ref="BF120"/>
    <hyperlink r:id="rId378" location="gid=84296321" ref="BP120"/>
    <hyperlink r:id="rId379" location="gid=84296321" ref="BZ120"/>
    <hyperlink r:id="rId380" location="gid=84296321" ref="CJ120"/>
    <hyperlink r:id="rId381" location="gid=84296321" ref="CT120"/>
    <hyperlink r:id="rId382" location="gid=84296321" ref="DD120"/>
    <hyperlink r:id="rId383" location="gid=84296321" ref="DN120"/>
    <hyperlink r:id="rId384" location="gid=84296321" ref="DX120"/>
    <hyperlink r:id="rId385" location="gid=84296321" ref="R121"/>
    <hyperlink r:id="rId386" location="gid=84296321" ref="AB121"/>
    <hyperlink r:id="rId387" location="gid=84296321" ref="AL121"/>
    <hyperlink r:id="rId388" location="gid=84296321" ref="AV121"/>
    <hyperlink r:id="rId389" location="gid=84296321" ref="BF121"/>
    <hyperlink r:id="rId390" location="gid=84296321" ref="BP121"/>
    <hyperlink r:id="rId391" location="gid=84296321" ref="BZ121"/>
    <hyperlink r:id="rId392" location="gid=84296321" ref="CJ121"/>
    <hyperlink r:id="rId393" location="gid=84296321" ref="CT121"/>
    <hyperlink r:id="rId394" location="gid=84296321" ref="DD121"/>
    <hyperlink r:id="rId395" location="gid=84296321" ref="DN121"/>
    <hyperlink r:id="rId396" location="gid=84296321" ref="DX121"/>
    <hyperlink r:id="rId397" location="gid=84296321" ref="R122"/>
    <hyperlink r:id="rId398" location="gid=84296321" ref="AB122"/>
    <hyperlink r:id="rId399" location="gid=84296321" ref="AL122"/>
    <hyperlink r:id="rId400" location="gid=84296321" ref="AV122"/>
    <hyperlink r:id="rId401" location="gid=84296321" ref="BF122"/>
    <hyperlink r:id="rId402" location="gid=84296321" ref="BP122"/>
    <hyperlink r:id="rId403" location="gid=84296321" ref="BZ122"/>
    <hyperlink r:id="rId404" location="gid=84296321" ref="CJ122"/>
    <hyperlink r:id="rId405" location="gid=84296321" ref="CT122"/>
    <hyperlink r:id="rId406" location="gid=84296321" ref="DD122"/>
    <hyperlink r:id="rId407" location="gid=84296321" ref="DN122"/>
    <hyperlink r:id="rId408" location="gid=84296321" ref="DX122"/>
    <hyperlink r:id="rId409" location="gid=84296321" ref="R123"/>
    <hyperlink r:id="rId410" location="gid=84296321" ref="AB123"/>
    <hyperlink r:id="rId411" location="gid=84296321" ref="AL123"/>
    <hyperlink r:id="rId412" location="gid=84296321" ref="AV123"/>
    <hyperlink r:id="rId413" location="gid=84296321" ref="BF123"/>
    <hyperlink r:id="rId414" location="gid=84296321" ref="BP123"/>
    <hyperlink r:id="rId415" location="gid=84296321" ref="BZ123"/>
    <hyperlink r:id="rId416" location="gid=84296321" ref="CJ123"/>
    <hyperlink r:id="rId417" location="gid=84296321" ref="CT123"/>
    <hyperlink r:id="rId418" location="gid=84296321" ref="DD123"/>
    <hyperlink r:id="rId419" location="gid=84296321" ref="DN123"/>
    <hyperlink r:id="rId420" location="gid=84296321" ref="DX123"/>
    <hyperlink r:id="rId421" location="gid=84296321" ref="R124"/>
    <hyperlink r:id="rId422" location="gid=84296321" ref="AB124"/>
    <hyperlink r:id="rId423" location="gid=84296321" ref="AL124"/>
    <hyperlink r:id="rId424" location="gid=84296321" ref="AV124"/>
    <hyperlink r:id="rId425" location="gid=84296321" ref="BF124"/>
    <hyperlink r:id="rId426" location="gid=84296321" ref="BP124"/>
    <hyperlink r:id="rId427" location="gid=84296321" ref="BZ124"/>
    <hyperlink r:id="rId428" location="gid=84296321" ref="CJ124"/>
    <hyperlink r:id="rId429" location="gid=84296321" ref="CT124"/>
    <hyperlink r:id="rId430" location="gid=84296321" ref="DD124"/>
    <hyperlink r:id="rId431" location="gid=84296321" ref="DN124"/>
    <hyperlink r:id="rId432" location="gid=84296321" ref="DX124"/>
    <hyperlink r:id="rId433" location="gid=84296321" ref="R125"/>
    <hyperlink r:id="rId434" location="gid=84296321" ref="AB125"/>
    <hyperlink r:id="rId435" location="gid=84296321" ref="AL125"/>
    <hyperlink r:id="rId436" location="gid=84296321" ref="AV125"/>
    <hyperlink r:id="rId437" location="gid=84296321" ref="BF125"/>
    <hyperlink r:id="rId438" location="gid=84296321" ref="BP125"/>
    <hyperlink r:id="rId439" location="gid=84296321" ref="BZ125"/>
    <hyperlink r:id="rId440" location="gid=84296321" ref="CJ125"/>
    <hyperlink r:id="rId441" location="gid=84296321" ref="CT125"/>
    <hyperlink r:id="rId442" location="gid=84296321" ref="DD125"/>
    <hyperlink r:id="rId443" location="gid=84296321" ref="DN125"/>
    <hyperlink r:id="rId444" location="gid=84296321" ref="DX125"/>
    <hyperlink r:id="rId445" location="gid=84296321" ref="R126"/>
    <hyperlink r:id="rId446" location="gid=84296321" ref="AB126"/>
    <hyperlink r:id="rId447" location="gid=84296321" ref="AL126"/>
    <hyperlink r:id="rId448" location="gid=84296321" ref="AV126"/>
    <hyperlink r:id="rId449" location="gid=84296321" ref="BF126"/>
    <hyperlink r:id="rId450" location="gid=84296321" ref="BP126"/>
    <hyperlink r:id="rId451" location="gid=84296321" ref="BZ126"/>
    <hyperlink r:id="rId452" location="gid=84296321" ref="CJ126"/>
    <hyperlink r:id="rId453" location="gid=84296321" ref="CT126"/>
    <hyperlink r:id="rId454" location="gid=84296321" ref="DD126"/>
    <hyperlink r:id="rId455" location="gid=84296321" ref="DN126"/>
    <hyperlink r:id="rId456" location="gid=84296321" ref="DX126"/>
    <hyperlink r:id="rId457" location="gid=84296321" ref="R127"/>
    <hyperlink r:id="rId458" location="gid=84296321" ref="AB127"/>
    <hyperlink r:id="rId459" location="gid=84296321" ref="AL127"/>
    <hyperlink r:id="rId460" location="gid=84296321" ref="AV127"/>
    <hyperlink r:id="rId461" location="gid=84296321" ref="BF127"/>
    <hyperlink r:id="rId462" location="gid=84296321" ref="BP127"/>
    <hyperlink r:id="rId463" location="gid=84296321" ref="BZ127"/>
    <hyperlink r:id="rId464" location="gid=84296321" ref="CJ127"/>
    <hyperlink r:id="rId465" location="gid=84296321" ref="CT127"/>
    <hyperlink r:id="rId466" location="gid=84296321" ref="DD127"/>
    <hyperlink r:id="rId467" location="gid=84296321" ref="DN127"/>
    <hyperlink r:id="rId468" location="gid=84296321" ref="DX127"/>
    <hyperlink r:id="rId469" location="gid=84296321" ref="R128"/>
    <hyperlink r:id="rId470" location="gid=84296321" ref="AB128"/>
    <hyperlink r:id="rId471" location="gid=84296321" ref="AL128"/>
    <hyperlink r:id="rId472" location="gid=84296321" ref="AV128"/>
    <hyperlink r:id="rId473" location="gid=84296321" ref="BF128"/>
    <hyperlink r:id="rId474" location="gid=84296321" ref="BP128"/>
    <hyperlink r:id="rId475" location="gid=84296321" ref="BZ128"/>
    <hyperlink r:id="rId476" location="gid=84296321" ref="CJ128"/>
    <hyperlink r:id="rId477" location="gid=84296321" ref="CT128"/>
    <hyperlink r:id="rId478" location="gid=84296321" ref="DD128"/>
    <hyperlink r:id="rId479" location="gid=84296321" ref="DN128"/>
    <hyperlink r:id="rId480" location="gid=84296321" ref="DX128"/>
    <hyperlink r:id="rId481" location="gid=84296321" ref="R129"/>
    <hyperlink r:id="rId482" location="gid=84296321" ref="AB129"/>
    <hyperlink r:id="rId483" location="gid=84296321" ref="AL129"/>
    <hyperlink r:id="rId484" location="gid=84296321" ref="AV129"/>
    <hyperlink r:id="rId485" location="gid=84296321" ref="BF129"/>
    <hyperlink r:id="rId486" location="gid=84296321" ref="BP129"/>
    <hyperlink r:id="rId487" location="gid=84296321" ref="BZ129"/>
    <hyperlink r:id="rId488" location="gid=84296321" ref="CJ129"/>
    <hyperlink r:id="rId489" location="gid=84296321" ref="CT129"/>
    <hyperlink r:id="rId490" location="gid=84296321" ref="DD129"/>
    <hyperlink r:id="rId491" location="gid=84296321" ref="DN129"/>
    <hyperlink r:id="rId492" location="gid=84296321" ref="DX129"/>
    <hyperlink r:id="rId493" location="gid=84296321" ref="R130"/>
    <hyperlink r:id="rId494" location="gid=84296321" ref="AB130"/>
    <hyperlink r:id="rId495" location="gid=84296321" ref="AL130"/>
    <hyperlink r:id="rId496" location="gid=84296321" ref="AV130"/>
    <hyperlink r:id="rId497" location="gid=84296321" ref="BF130"/>
    <hyperlink r:id="rId498" location="gid=84296321" ref="BP130"/>
    <hyperlink r:id="rId499" location="gid=84296321" ref="BZ130"/>
    <hyperlink r:id="rId500" location="gid=84296321" ref="CJ130"/>
    <hyperlink r:id="rId501" location="gid=84296321" ref="CT130"/>
    <hyperlink r:id="rId502" location="gid=84296321" ref="DD130"/>
    <hyperlink r:id="rId503" location="gid=84296321" ref="DN130"/>
    <hyperlink r:id="rId504" location="gid=84296321" ref="DX130"/>
    <hyperlink r:id="rId505" location="gid=84296321" ref="R131"/>
    <hyperlink r:id="rId506" location="gid=84296321" ref="AB131"/>
    <hyperlink r:id="rId507" location="gid=84296321" ref="AL131"/>
    <hyperlink r:id="rId508" location="gid=84296321" ref="AV131"/>
    <hyperlink r:id="rId509" location="gid=84296321" ref="BF131"/>
    <hyperlink r:id="rId510" location="gid=84296321" ref="BP131"/>
    <hyperlink r:id="rId511" location="gid=84296321" ref="BZ131"/>
    <hyperlink r:id="rId512" location="gid=84296321" ref="CJ131"/>
    <hyperlink r:id="rId513" location="gid=84296321" ref="CT131"/>
    <hyperlink r:id="rId514" location="gid=84296321" ref="DD131"/>
    <hyperlink r:id="rId515" location="gid=84296321" ref="DN131"/>
    <hyperlink r:id="rId516" location="gid=84296321" ref="DX131"/>
    <hyperlink r:id="rId517" location="gid=84296321" ref="R132"/>
    <hyperlink r:id="rId518" location="gid=84296321" ref="AB132"/>
    <hyperlink r:id="rId519" location="gid=84296321" ref="AL132"/>
    <hyperlink r:id="rId520" location="gid=84296321" ref="AV132"/>
    <hyperlink r:id="rId521" location="gid=84296321" ref="BF132"/>
    <hyperlink r:id="rId522" location="gid=84296321" ref="BP132"/>
    <hyperlink r:id="rId523" location="gid=84296321" ref="BZ132"/>
    <hyperlink r:id="rId524" location="gid=84296321" ref="CJ132"/>
    <hyperlink r:id="rId525" location="gid=84296321" ref="CT132"/>
    <hyperlink r:id="rId526" location="gid=84296321" ref="DD132"/>
    <hyperlink r:id="rId527" location="gid=84296321" ref="DN132"/>
    <hyperlink r:id="rId528" location="gid=84296321" ref="DX132"/>
    <hyperlink r:id="rId529" location="gid=84296321" ref="R133"/>
    <hyperlink r:id="rId530" location="gid=84296321" ref="AB133"/>
    <hyperlink r:id="rId531" location="gid=84296321" ref="AL133"/>
    <hyperlink r:id="rId532" location="gid=84296321" ref="AV133"/>
    <hyperlink r:id="rId533" location="gid=84296321" ref="BF133"/>
    <hyperlink r:id="rId534" location="gid=84296321" ref="BP133"/>
    <hyperlink r:id="rId535" location="gid=84296321" ref="BZ133"/>
    <hyperlink r:id="rId536" location="gid=84296321" ref="CJ133"/>
    <hyperlink r:id="rId537" location="gid=84296321" ref="CT133"/>
    <hyperlink r:id="rId538" location="gid=84296321" ref="DD133"/>
    <hyperlink r:id="rId539" location="gid=84296321" ref="DN133"/>
    <hyperlink r:id="rId540" location="gid=84296321" ref="DX133"/>
    <hyperlink r:id="rId541" location="gid=84296321" ref="R134"/>
    <hyperlink r:id="rId542" location="gid=84296321" ref="AB134"/>
    <hyperlink r:id="rId543" location="gid=84296321" ref="AL134"/>
    <hyperlink r:id="rId544" location="gid=84296321" ref="AV134"/>
    <hyperlink r:id="rId545" location="gid=84296321" ref="BF134"/>
    <hyperlink r:id="rId546" location="gid=84296321" ref="BP134"/>
    <hyperlink r:id="rId547" location="gid=84296321" ref="BZ134"/>
    <hyperlink r:id="rId548" location="gid=84296321" ref="CJ134"/>
    <hyperlink r:id="rId549" location="gid=84296321" ref="CT134"/>
    <hyperlink r:id="rId550" location="gid=84296321" ref="DD134"/>
    <hyperlink r:id="rId551" location="gid=84296321" ref="DN134"/>
    <hyperlink r:id="rId552" location="gid=84296321" ref="DX134"/>
    <hyperlink r:id="rId553" location="gid=84296321" ref="R135"/>
    <hyperlink r:id="rId554" location="gid=84296321" ref="AB135"/>
    <hyperlink r:id="rId555" location="gid=84296321" ref="AL135"/>
    <hyperlink r:id="rId556" location="gid=84296321" ref="AV135"/>
    <hyperlink r:id="rId557" location="gid=84296321" ref="BF135"/>
    <hyperlink r:id="rId558" location="gid=84296321" ref="BP135"/>
    <hyperlink r:id="rId559" location="gid=84296321" ref="BZ135"/>
    <hyperlink r:id="rId560" location="gid=84296321" ref="CJ135"/>
    <hyperlink r:id="rId561" location="gid=84296321" ref="CT135"/>
    <hyperlink r:id="rId562" location="gid=84296321" ref="DD135"/>
    <hyperlink r:id="rId563" location="gid=84296321" ref="DN135"/>
    <hyperlink r:id="rId564" location="gid=84296321" ref="DX135"/>
    <hyperlink r:id="rId565" location="gid=84296321" ref="R136"/>
    <hyperlink r:id="rId566" location="gid=84296321" ref="AB136"/>
    <hyperlink r:id="rId567" location="gid=84296321" ref="AL136"/>
    <hyperlink r:id="rId568" location="gid=84296321" ref="AV136"/>
    <hyperlink r:id="rId569" location="gid=84296321" ref="BF136"/>
    <hyperlink r:id="rId570" location="gid=84296321" ref="BP136"/>
    <hyperlink r:id="rId571" location="gid=84296321" ref="BZ136"/>
    <hyperlink r:id="rId572" location="gid=84296321" ref="CJ136"/>
    <hyperlink r:id="rId573" location="gid=84296321" ref="CT136"/>
    <hyperlink r:id="rId574" location="gid=84296321" ref="DD136"/>
    <hyperlink r:id="rId575" location="gid=84296321" ref="DN136"/>
    <hyperlink r:id="rId576" location="gid=84296321" ref="DX136"/>
    <hyperlink r:id="rId577" location="gid=84296321" ref="R137"/>
    <hyperlink r:id="rId578" location="gid=84296321" ref="AB137"/>
    <hyperlink r:id="rId579" location="gid=84296321" ref="AL137"/>
    <hyperlink r:id="rId580" location="gid=84296321" ref="AV137"/>
    <hyperlink r:id="rId581" location="gid=84296321" ref="BF137"/>
    <hyperlink r:id="rId582" location="gid=84296321" ref="BP137"/>
    <hyperlink r:id="rId583" location="gid=84296321" ref="BZ137"/>
    <hyperlink r:id="rId584" location="gid=84296321" ref="CJ137"/>
    <hyperlink r:id="rId585" location="gid=84296321" ref="CT137"/>
    <hyperlink r:id="rId586" location="gid=84296321" ref="DD137"/>
    <hyperlink r:id="rId587" location="gid=84296321" ref="DN137"/>
    <hyperlink r:id="rId588" location="gid=84296321" ref="DX137"/>
    <hyperlink r:id="rId589" location="gid=84296321" ref="R138"/>
    <hyperlink r:id="rId590" location="gid=84296321" ref="AB138"/>
    <hyperlink r:id="rId591" location="gid=84296321" ref="AL138"/>
    <hyperlink r:id="rId592" location="gid=84296321" ref="AV138"/>
    <hyperlink r:id="rId593" location="gid=84296321" ref="BF138"/>
    <hyperlink r:id="rId594" location="gid=84296321" ref="BP138"/>
    <hyperlink r:id="rId595" location="gid=84296321" ref="BZ138"/>
    <hyperlink r:id="rId596" location="gid=84296321" ref="CJ138"/>
    <hyperlink r:id="rId597" location="gid=84296321" ref="CT138"/>
    <hyperlink r:id="rId598" location="gid=84296321" ref="DD138"/>
    <hyperlink r:id="rId599" location="gid=84296321" ref="DN138"/>
    <hyperlink r:id="rId600" location="gid=84296321" ref="DX138"/>
    <hyperlink r:id="rId601" location="gid=84296321" ref="R139"/>
    <hyperlink r:id="rId602" location="gid=84296321" ref="AB139"/>
    <hyperlink r:id="rId603" location="gid=84296321" ref="AL139"/>
    <hyperlink r:id="rId604" location="gid=84296321" ref="AV139"/>
    <hyperlink r:id="rId605" location="gid=84296321" ref="BF139"/>
    <hyperlink r:id="rId606" location="gid=84296321" ref="BP139"/>
    <hyperlink r:id="rId607" location="gid=84296321" ref="BZ139"/>
    <hyperlink r:id="rId608" location="gid=84296321" ref="CJ139"/>
    <hyperlink r:id="rId609" location="gid=84296321" ref="CT139"/>
    <hyperlink r:id="rId610" location="gid=84296321" ref="DD139"/>
    <hyperlink r:id="rId611" location="gid=84296321" ref="DN139"/>
    <hyperlink r:id="rId612" location="gid=84296321" ref="DX139"/>
    <hyperlink r:id="rId613" location="gid=84296321" ref="R140"/>
    <hyperlink r:id="rId614" location="gid=84296321" ref="AB140"/>
    <hyperlink r:id="rId615" location="gid=84296321" ref="AL140"/>
    <hyperlink r:id="rId616" location="gid=84296321" ref="AV140"/>
    <hyperlink r:id="rId617" location="gid=84296321" ref="BF140"/>
    <hyperlink r:id="rId618" location="gid=84296321" ref="BP140"/>
    <hyperlink r:id="rId619" location="gid=84296321" ref="BZ140"/>
    <hyperlink r:id="rId620" location="gid=84296321" ref="CJ140"/>
    <hyperlink r:id="rId621" location="gid=84296321" ref="CT140"/>
    <hyperlink r:id="rId622" location="gid=84296321" ref="DD140"/>
    <hyperlink r:id="rId623" location="gid=84296321" ref="DN140"/>
    <hyperlink r:id="rId624" location="gid=84296321" ref="DX140"/>
    <hyperlink r:id="rId625" location="gid=84296321" ref="R141"/>
    <hyperlink r:id="rId626" location="gid=84296321" ref="AB141"/>
    <hyperlink r:id="rId627" location="gid=84296321" ref="AL141"/>
    <hyperlink r:id="rId628" location="gid=84296321" ref="AV141"/>
    <hyperlink r:id="rId629" location="gid=84296321" ref="BF141"/>
    <hyperlink r:id="rId630" location="gid=84296321" ref="BP141"/>
    <hyperlink r:id="rId631" location="gid=84296321" ref="BZ141"/>
    <hyperlink r:id="rId632" location="gid=84296321" ref="CJ141"/>
    <hyperlink r:id="rId633" location="gid=84296321" ref="CT141"/>
    <hyperlink r:id="rId634" location="gid=84296321" ref="DD141"/>
    <hyperlink r:id="rId635" location="gid=84296321" ref="DN141"/>
    <hyperlink r:id="rId636" location="gid=84296321" ref="DX141"/>
    <hyperlink r:id="rId637" location="gid=84296321" ref="R142"/>
    <hyperlink r:id="rId638" location="gid=84296321" ref="AB142"/>
    <hyperlink r:id="rId639" location="gid=84296321" ref="AL142"/>
    <hyperlink r:id="rId640" location="gid=84296321" ref="AV142"/>
    <hyperlink r:id="rId641" location="gid=84296321" ref="BF142"/>
    <hyperlink r:id="rId642" location="gid=84296321" ref="BP142"/>
    <hyperlink r:id="rId643" location="gid=84296321" ref="BZ142"/>
    <hyperlink r:id="rId644" location="gid=84296321" ref="CJ142"/>
    <hyperlink r:id="rId645" location="gid=84296321" ref="CT142"/>
    <hyperlink r:id="rId646" location="gid=84296321" ref="DD142"/>
    <hyperlink r:id="rId647" location="gid=84296321" ref="DN142"/>
    <hyperlink r:id="rId648" location="gid=84296321" ref="DX142"/>
    <hyperlink r:id="rId649" location="gid=84296321" ref="R143"/>
    <hyperlink r:id="rId650" location="gid=84296321" ref="AB143"/>
    <hyperlink r:id="rId651" location="gid=84296321" ref="AL143"/>
    <hyperlink r:id="rId652" location="gid=84296321" ref="AV143"/>
    <hyperlink r:id="rId653" location="gid=84296321" ref="BF143"/>
    <hyperlink r:id="rId654" location="gid=84296321" ref="BP143"/>
    <hyperlink r:id="rId655" location="gid=84296321" ref="BZ143"/>
    <hyperlink r:id="rId656" location="gid=84296321" ref="CJ143"/>
    <hyperlink r:id="rId657" location="gid=84296321" ref="CT143"/>
    <hyperlink r:id="rId658" location="gid=84296321" ref="DD143"/>
    <hyperlink r:id="rId659" location="gid=84296321" ref="DN143"/>
    <hyperlink r:id="rId660" location="gid=84296321" ref="DX143"/>
    <hyperlink r:id="rId661" location="gid=84296321" ref="R144"/>
    <hyperlink r:id="rId662" location="gid=84296321" ref="AB144"/>
    <hyperlink r:id="rId663" location="gid=84296321" ref="AL144"/>
    <hyperlink r:id="rId664" location="gid=84296321" ref="AV144"/>
    <hyperlink r:id="rId665" location="gid=84296321" ref="BF144"/>
    <hyperlink r:id="rId666" location="gid=84296321" ref="BP144"/>
    <hyperlink r:id="rId667" location="gid=84296321" ref="BZ144"/>
    <hyperlink r:id="rId668" location="gid=84296321" ref="CJ144"/>
    <hyperlink r:id="rId669" location="gid=84296321" ref="CT144"/>
    <hyperlink r:id="rId670" location="gid=84296321" ref="DD144"/>
    <hyperlink r:id="rId671" location="gid=84296321" ref="DN144"/>
    <hyperlink r:id="rId672" location="gid=84296321" ref="DX144"/>
    <hyperlink r:id="rId673" location="gid=84296321" ref="R145"/>
    <hyperlink r:id="rId674" location="gid=84296321" ref="AB145"/>
    <hyperlink r:id="rId675" location="gid=84296321" ref="AL145"/>
    <hyperlink r:id="rId676" location="gid=84296321" ref="AV145"/>
    <hyperlink r:id="rId677" location="gid=84296321" ref="BF145"/>
    <hyperlink r:id="rId678" location="gid=84296321" ref="BP145"/>
    <hyperlink r:id="rId679" location="gid=84296321" ref="BZ145"/>
    <hyperlink r:id="rId680" location="gid=84296321" ref="CJ145"/>
    <hyperlink r:id="rId681" location="gid=84296321" ref="CT145"/>
    <hyperlink r:id="rId682" location="gid=84296321" ref="DD145"/>
    <hyperlink r:id="rId683" location="gid=84296321" ref="DN145"/>
    <hyperlink r:id="rId684" location="gid=84296321" ref="DX145"/>
    <hyperlink r:id="rId685" location="gid=84296321" ref="R146"/>
    <hyperlink r:id="rId686" location="gid=84296321" ref="AB146"/>
    <hyperlink r:id="rId687" location="gid=84296321" ref="AL146"/>
    <hyperlink r:id="rId688" location="gid=84296321" ref="AV146"/>
    <hyperlink r:id="rId689" location="gid=84296321" ref="BF146"/>
    <hyperlink r:id="rId690" location="gid=84296321" ref="BP146"/>
    <hyperlink r:id="rId691" location="gid=84296321" ref="BZ146"/>
    <hyperlink r:id="rId692" location="gid=84296321" ref="CJ146"/>
    <hyperlink r:id="rId693" location="gid=84296321" ref="CT146"/>
    <hyperlink r:id="rId694" location="gid=84296321" ref="DD146"/>
    <hyperlink r:id="rId695" location="gid=84296321" ref="DN146"/>
    <hyperlink r:id="rId696" location="gid=84296321" ref="DX146"/>
    <hyperlink r:id="rId697" location="gid=84296321" ref="R147"/>
    <hyperlink r:id="rId698" location="gid=84296321" ref="AB147"/>
    <hyperlink r:id="rId699" location="gid=84296321" ref="AL147"/>
    <hyperlink r:id="rId700" location="gid=84296321" ref="AV147"/>
    <hyperlink r:id="rId701" location="gid=84296321" ref="BF147"/>
    <hyperlink r:id="rId702" location="gid=84296321" ref="BP147"/>
    <hyperlink r:id="rId703" location="gid=84296321" ref="BZ147"/>
    <hyperlink r:id="rId704" location="gid=84296321" ref="CJ147"/>
    <hyperlink r:id="rId705" location="gid=84296321" ref="CT147"/>
    <hyperlink r:id="rId706" location="gid=84296321" ref="DD147"/>
    <hyperlink r:id="rId707" location="gid=84296321" ref="DN147"/>
    <hyperlink r:id="rId708" location="gid=84296321" ref="DX147"/>
    <hyperlink r:id="rId709" location="gid=84296321" ref="R148"/>
    <hyperlink r:id="rId710" location="gid=84296321" ref="AB148"/>
    <hyperlink r:id="rId711" location="gid=84296321" ref="AL148"/>
    <hyperlink r:id="rId712" location="gid=84296321" ref="AV148"/>
    <hyperlink r:id="rId713" location="gid=84296321" ref="BF148"/>
    <hyperlink r:id="rId714" location="gid=84296321" ref="BP148"/>
    <hyperlink r:id="rId715" location="gid=84296321" ref="BZ148"/>
    <hyperlink r:id="rId716" location="gid=84296321" ref="CJ148"/>
    <hyperlink r:id="rId717" location="gid=84296321" ref="CT148"/>
    <hyperlink r:id="rId718" location="gid=84296321" ref="DD148"/>
    <hyperlink r:id="rId719" location="gid=84296321" ref="DN148"/>
    <hyperlink r:id="rId720" location="gid=84296321" ref="DX148"/>
    <hyperlink r:id="rId721" location="gid=84296321" ref="R149"/>
    <hyperlink r:id="rId722" location="gid=84296321" ref="AB149"/>
    <hyperlink r:id="rId723" location="gid=84296321" ref="AL149"/>
    <hyperlink r:id="rId724" location="gid=84296321" ref="AV149"/>
    <hyperlink r:id="rId725" location="gid=84296321" ref="BF149"/>
    <hyperlink r:id="rId726" location="gid=84296321" ref="BP149"/>
    <hyperlink r:id="rId727" location="gid=84296321" ref="BZ149"/>
    <hyperlink r:id="rId728" location="gid=84296321" ref="CJ149"/>
    <hyperlink r:id="rId729" location="gid=84296321" ref="CT149"/>
    <hyperlink r:id="rId730" location="gid=84296321" ref="DD149"/>
    <hyperlink r:id="rId731" location="gid=84296321" ref="DN149"/>
    <hyperlink r:id="rId732" location="gid=84296321" ref="DX149"/>
    <hyperlink r:id="rId733" location="gid=84296321" ref="R150"/>
    <hyperlink r:id="rId734" location="gid=84296321" ref="AB150"/>
    <hyperlink r:id="rId735" location="gid=84296321" ref="AL150"/>
    <hyperlink r:id="rId736" location="gid=84296321" ref="AV150"/>
    <hyperlink r:id="rId737" location="gid=84296321" ref="BF150"/>
    <hyperlink r:id="rId738" location="gid=84296321" ref="BP150"/>
    <hyperlink r:id="rId739" location="gid=84296321" ref="BZ150"/>
    <hyperlink r:id="rId740" location="gid=84296321" ref="CJ150"/>
    <hyperlink r:id="rId741" location="gid=84296321" ref="CT150"/>
    <hyperlink r:id="rId742" location="gid=84296321" ref="DD150"/>
    <hyperlink r:id="rId743" location="gid=84296321" ref="DN150"/>
    <hyperlink r:id="rId744" location="gid=84296321" ref="DX150"/>
    <hyperlink r:id="rId745" location="gid=84296321" ref="R151"/>
    <hyperlink r:id="rId746" location="gid=84296321" ref="AB151"/>
    <hyperlink r:id="rId747" location="gid=84296321" ref="AL151"/>
    <hyperlink r:id="rId748" location="gid=84296321" ref="AV151"/>
    <hyperlink r:id="rId749" location="gid=84296321" ref="BF151"/>
    <hyperlink r:id="rId750" location="gid=84296321" ref="BP151"/>
    <hyperlink r:id="rId751" location="gid=84296321" ref="BZ151"/>
    <hyperlink r:id="rId752" location="gid=84296321" ref="CJ151"/>
    <hyperlink r:id="rId753" location="gid=84296321" ref="CT151"/>
    <hyperlink r:id="rId754" location="gid=84296321" ref="DD151"/>
    <hyperlink r:id="rId755" location="gid=84296321" ref="DN151"/>
    <hyperlink r:id="rId756" location="gid=84296321" ref="DX151"/>
    <hyperlink r:id="rId757" location="gid=84296321" ref="R152"/>
    <hyperlink r:id="rId758" location="gid=84296321" ref="AB152"/>
    <hyperlink r:id="rId759" location="gid=84296321" ref="AL152"/>
    <hyperlink r:id="rId760" location="gid=84296321" ref="AV152"/>
    <hyperlink r:id="rId761" location="gid=84296321" ref="BF152"/>
    <hyperlink r:id="rId762" location="gid=84296321" ref="BP152"/>
    <hyperlink r:id="rId763" location="gid=84296321" ref="BZ152"/>
    <hyperlink r:id="rId764" location="gid=84296321" ref="CJ152"/>
    <hyperlink r:id="rId765" location="gid=84296321" ref="CT152"/>
    <hyperlink r:id="rId766" location="gid=84296321" ref="DD152"/>
    <hyperlink r:id="rId767" location="gid=84296321" ref="DN152"/>
    <hyperlink r:id="rId768" location="gid=84296321" ref="DX152"/>
    <hyperlink r:id="rId769" location="gid=84296321" ref="R153"/>
    <hyperlink r:id="rId770" location="gid=84296321" ref="AB153"/>
    <hyperlink r:id="rId771" location="gid=84296321" ref="AL153"/>
    <hyperlink r:id="rId772" location="gid=84296321" ref="AV153"/>
    <hyperlink r:id="rId773" location="gid=84296321" ref="BF153"/>
    <hyperlink r:id="rId774" location="gid=84296321" ref="BP153"/>
    <hyperlink r:id="rId775" location="gid=84296321" ref="BZ153"/>
    <hyperlink r:id="rId776" location="gid=84296321" ref="CJ153"/>
    <hyperlink r:id="rId777" location="gid=84296321" ref="CT153"/>
    <hyperlink r:id="rId778" location="gid=84296321" ref="DD153"/>
    <hyperlink r:id="rId779" location="gid=84296321" ref="DN153"/>
    <hyperlink r:id="rId780" location="gid=84296321" ref="DX153"/>
    <hyperlink r:id="rId781" location="gid=84296321" ref="R154"/>
    <hyperlink r:id="rId782" location="gid=84296321" ref="AB154"/>
    <hyperlink r:id="rId783" location="gid=84296321" ref="AL154"/>
    <hyperlink r:id="rId784" location="gid=84296321" ref="AV154"/>
    <hyperlink r:id="rId785" location="gid=84296321" ref="BF154"/>
    <hyperlink r:id="rId786" location="gid=84296321" ref="BP154"/>
    <hyperlink r:id="rId787" location="gid=84296321" ref="BZ154"/>
    <hyperlink r:id="rId788" location="gid=84296321" ref="CJ154"/>
    <hyperlink r:id="rId789" location="gid=84296321" ref="CT154"/>
    <hyperlink r:id="rId790" location="gid=84296321" ref="DD154"/>
    <hyperlink r:id="rId791" location="gid=84296321" ref="DN154"/>
    <hyperlink r:id="rId792" location="gid=84296321" ref="DX154"/>
    <hyperlink r:id="rId793" location="gid=84296321" ref="R155"/>
    <hyperlink r:id="rId794" location="gid=84296321" ref="AB155"/>
    <hyperlink r:id="rId795" location="gid=84296321" ref="AL155"/>
    <hyperlink r:id="rId796" location="gid=84296321" ref="AV155"/>
    <hyperlink r:id="rId797" location="gid=84296321" ref="BF155"/>
    <hyperlink r:id="rId798" location="gid=84296321" ref="BP155"/>
    <hyperlink r:id="rId799" location="gid=84296321" ref="BZ155"/>
    <hyperlink r:id="rId800" location="gid=84296321" ref="CJ155"/>
    <hyperlink r:id="rId801" location="gid=84296321" ref="CT155"/>
    <hyperlink r:id="rId802" location="gid=84296321" ref="DD155"/>
    <hyperlink r:id="rId803" location="gid=84296321" ref="DN155"/>
    <hyperlink r:id="rId804" location="gid=84296321" ref="DX155"/>
    <hyperlink r:id="rId805" location="gid=84296321" ref="R156"/>
    <hyperlink r:id="rId806" location="gid=84296321" ref="AB156"/>
    <hyperlink r:id="rId807" location="gid=84296321" ref="AL156"/>
    <hyperlink r:id="rId808" location="gid=84296321" ref="AV156"/>
    <hyperlink r:id="rId809" location="gid=84296321" ref="BF156"/>
    <hyperlink r:id="rId810" location="gid=84296321" ref="BP156"/>
    <hyperlink r:id="rId811" location="gid=84296321" ref="BZ156"/>
    <hyperlink r:id="rId812" location="gid=84296321" ref="CJ156"/>
    <hyperlink r:id="rId813" location="gid=84296321" ref="CT156"/>
    <hyperlink r:id="rId814" location="gid=84296321" ref="DD156"/>
    <hyperlink r:id="rId815" location="gid=84296321" ref="DN156"/>
    <hyperlink r:id="rId816" location="gid=84296321" ref="DX156"/>
    <hyperlink r:id="rId817" location="gid=84296321" ref="R157"/>
    <hyperlink r:id="rId818" location="gid=84296321" ref="AB157"/>
    <hyperlink r:id="rId819" location="gid=84296321" ref="AL157"/>
    <hyperlink r:id="rId820" location="gid=84296321" ref="AV157"/>
    <hyperlink r:id="rId821" location="gid=84296321" ref="BF157"/>
    <hyperlink r:id="rId822" location="gid=84296321" ref="BP157"/>
    <hyperlink r:id="rId823" location="gid=84296321" ref="BZ157"/>
    <hyperlink r:id="rId824" location="gid=84296321" ref="CJ157"/>
    <hyperlink r:id="rId825" location="gid=84296321" ref="CT157"/>
    <hyperlink r:id="rId826" location="gid=84296321" ref="DD157"/>
    <hyperlink r:id="rId827" location="gid=84296321" ref="DN157"/>
    <hyperlink r:id="rId828" location="gid=84296321" ref="DX157"/>
    <hyperlink r:id="rId829" location="gid=84296321" ref="R158"/>
    <hyperlink r:id="rId830" location="gid=84296321" ref="AB158"/>
    <hyperlink r:id="rId831" location="gid=84296321" ref="AL158"/>
    <hyperlink r:id="rId832" location="gid=84296321" ref="AV158"/>
    <hyperlink r:id="rId833" location="gid=84296321" ref="BF158"/>
    <hyperlink r:id="rId834" location="gid=84296321" ref="BP158"/>
    <hyperlink r:id="rId835" location="gid=84296321" ref="BZ158"/>
    <hyperlink r:id="rId836" location="gid=84296321" ref="CJ158"/>
    <hyperlink r:id="rId837" location="gid=84296321" ref="CT158"/>
    <hyperlink r:id="rId838" location="gid=84296321" ref="DD158"/>
    <hyperlink r:id="rId839" location="gid=84296321" ref="DN158"/>
    <hyperlink r:id="rId840" location="gid=84296321" ref="DX158"/>
    <hyperlink r:id="rId841" location="gid=84296321" ref="R159"/>
    <hyperlink r:id="rId842" location="gid=84296321" ref="AB159"/>
    <hyperlink r:id="rId843" location="gid=84296321" ref="AL159"/>
    <hyperlink r:id="rId844" location="gid=84296321" ref="AV159"/>
    <hyperlink r:id="rId845" location="gid=84296321" ref="BF159"/>
    <hyperlink r:id="rId846" location="gid=84296321" ref="BP159"/>
    <hyperlink r:id="rId847" location="gid=84296321" ref="BZ159"/>
    <hyperlink r:id="rId848" location="gid=84296321" ref="CJ159"/>
    <hyperlink r:id="rId849" location="gid=84296321" ref="CT159"/>
    <hyperlink r:id="rId850" location="gid=84296321" ref="DD159"/>
    <hyperlink r:id="rId851" location="gid=84296321" ref="DN159"/>
    <hyperlink r:id="rId852" location="gid=84296321" ref="DX159"/>
    <hyperlink r:id="rId853" location="gid=84296321" ref="R160"/>
    <hyperlink r:id="rId854" location="gid=84296321" ref="AB160"/>
    <hyperlink r:id="rId855" location="gid=84296321" ref="AL160"/>
    <hyperlink r:id="rId856" location="gid=84296321" ref="AV160"/>
    <hyperlink r:id="rId857" location="gid=84296321" ref="BF160"/>
    <hyperlink r:id="rId858" location="gid=84296321" ref="BP160"/>
    <hyperlink r:id="rId859" location="gid=84296321" ref="BZ160"/>
    <hyperlink r:id="rId860" location="gid=84296321" ref="CJ160"/>
    <hyperlink r:id="rId861" location="gid=84296321" ref="CT160"/>
    <hyperlink r:id="rId862" location="gid=84296321" ref="DD160"/>
    <hyperlink r:id="rId863" location="gid=84296321" ref="DN160"/>
    <hyperlink r:id="rId864" location="gid=84296321" ref="DX160"/>
    <hyperlink r:id="rId865" location="gid=84296321" ref="R161"/>
    <hyperlink r:id="rId866" location="gid=84296321" ref="AB161"/>
    <hyperlink r:id="rId867" location="gid=84296321" ref="AL161"/>
    <hyperlink r:id="rId868" location="gid=84296321" ref="AV161"/>
    <hyperlink r:id="rId869" location="gid=84296321" ref="BF161"/>
    <hyperlink r:id="rId870" location="gid=84296321" ref="BP161"/>
    <hyperlink r:id="rId871" location="gid=84296321" ref="BZ161"/>
    <hyperlink r:id="rId872" location="gid=84296321" ref="CJ161"/>
    <hyperlink r:id="rId873" location="gid=84296321" ref="CT161"/>
    <hyperlink r:id="rId874" location="gid=84296321" ref="DD161"/>
    <hyperlink r:id="rId875" location="gid=84296321" ref="DN161"/>
    <hyperlink r:id="rId876" location="gid=84296321" ref="DX161"/>
    <hyperlink r:id="rId877" location="gid=84296321" ref="R162"/>
    <hyperlink r:id="rId878" location="gid=84296321" ref="AB162"/>
    <hyperlink r:id="rId879" location="gid=84296321" ref="AL162"/>
    <hyperlink r:id="rId880" location="gid=84296321" ref="AV162"/>
    <hyperlink r:id="rId881" location="gid=84296321" ref="BF162"/>
    <hyperlink r:id="rId882" location="gid=84296321" ref="BP162"/>
    <hyperlink r:id="rId883" location="gid=84296321" ref="BZ162"/>
    <hyperlink r:id="rId884" location="gid=84296321" ref="CJ162"/>
    <hyperlink r:id="rId885" location="gid=84296321" ref="CT162"/>
    <hyperlink r:id="rId886" location="gid=84296321" ref="DD162"/>
    <hyperlink r:id="rId887" location="gid=84296321" ref="DN162"/>
    <hyperlink r:id="rId888" location="gid=84296321" ref="DX162"/>
    <hyperlink r:id="rId889" location="gid=84296321" ref="R163"/>
    <hyperlink r:id="rId890" location="gid=84296321" ref="AB163"/>
    <hyperlink r:id="rId891" location="gid=84296321" ref="AL163"/>
    <hyperlink r:id="rId892" location="gid=84296321" ref="AV163"/>
    <hyperlink r:id="rId893" location="gid=84296321" ref="BF163"/>
    <hyperlink r:id="rId894" location="gid=84296321" ref="BP163"/>
    <hyperlink r:id="rId895" location="gid=84296321" ref="BZ163"/>
    <hyperlink r:id="rId896" location="gid=84296321" ref="CJ163"/>
    <hyperlink r:id="rId897" location="gid=84296321" ref="CT163"/>
    <hyperlink r:id="rId898" location="gid=84296321" ref="DD163"/>
    <hyperlink r:id="rId899" location="gid=84296321" ref="DN163"/>
    <hyperlink r:id="rId900" location="gid=84296321" ref="DX163"/>
    <hyperlink r:id="rId901" location="gid=84296321" ref="R164"/>
    <hyperlink r:id="rId902" location="gid=84296321" ref="AB164"/>
    <hyperlink r:id="rId903" location="gid=84296321" ref="AL164"/>
    <hyperlink r:id="rId904" location="gid=84296321" ref="AV164"/>
    <hyperlink r:id="rId905" location="gid=84296321" ref="BF164"/>
    <hyperlink r:id="rId906" location="gid=84296321" ref="BP164"/>
    <hyperlink r:id="rId907" location="gid=84296321" ref="BZ164"/>
    <hyperlink r:id="rId908" location="gid=84296321" ref="CJ164"/>
    <hyperlink r:id="rId909" location="gid=84296321" ref="CT164"/>
    <hyperlink r:id="rId910" location="gid=84296321" ref="DD164"/>
    <hyperlink r:id="rId911" location="gid=84296321" ref="DN164"/>
    <hyperlink r:id="rId912" location="gid=84296321" ref="DX164"/>
    <hyperlink r:id="rId913" location="gid=84296321" ref="R165"/>
    <hyperlink r:id="rId914" location="gid=84296321" ref="AB165"/>
    <hyperlink r:id="rId915" location="gid=84296321" ref="AL165"/>
    <hyperlink r:id="rId916" location="gid=84296321" ref="AV165"/>
    <hyperlink r:id="rId917" location="gid=84296321" ref="BF165"/>
    <hyperlink r:id="rId918" location="gid=84296321" ref="BP165"/>
    <hyperlink r:id="rId919" location="gid=84296321" ref="BZ165"/>
    <hyperlink r:id="rId920" location="gid=84296321" ref="CJ165"/>
    <hyperlink r:id="rId921" location="gid=84296321" ref="CT165"/>
    <hyperlink r:id="rId922" location="gid=84296321" ref="DD165"/>
    <hyperlink r:id="rId923" location="gid=84296321" ref="DN165"/>
    <hyperlink r:id="rId924" location="gid=84296321" ref="DX165"/>
    <hyperlink r:id="rId925" location="gid=84296321" ref="R166"/>
    <hyperlink r:id="rId926" location="gid=84296321" ref="AB166"/>
    <hyperlink r:id="rId927" location="gid=84296321" ref="AL166"/>
    <hyperlink r:id="rId928" location="gid=84296321" ref="AV166"/>
    <hyperlink r:id="rId929" location="gid=84296321" ref="BF166"/>
    <hyperlink r:id="rId930" location="gid=84296321" ref="BP166"/>
    <hyperlink r:id="rId931" location="gid=84296321" ref="BZ166"/>
    <hyperlink r:id="rId932" location="gid=84296321" ref="CJ166"/>
    <hyperlink r:id="rId933" location="gid=84296321" ref="CT166"/>
    <hyperlink r:id="rId934" location="gid=84296321" ref="DD166"/>
    <hyperlink r:id="rId935" location="gid=84296321" ref="DN166"/>
    <hyperlink r:id="rId936" location="gid=84296321" ref="DX166"/>
    <hyperlink r:id="rId937" location="gid=84296321" ref="R167"/>
    <hyperlink r:id="rId938" location="gid=84296321" ref="AB167"/>
    <hyperlink r:id="rId939" location="gid=84296321" ref="AL167"/>
    <hyperlink r:id="rId940" location="gid=84296321" ref="AV167"/>
    <hyperlink r:id="rId941" location="gid=84296321" ref="BF167"/>
    <hyperlink r:id="rId942" location="gid=84296321" ref="BP167"/>
    <hyperlink r:id="rId943" location="gid=84296321" ref="BZ167"/>
    <hyperlink r:id="rId944" location="gid=84296321" ref="CJ167"/>
    <hyperlink r:id="rId945" location="gid=84296321" ref="CT167"/>
    <hyperlink r:id="rId946" location="gid=84296321" ref="DD167"/>
    <hyperlink r:id="rId947" location="gid=84296321" ref="DN167"/>
    <hyperlink r:id="rId948" location="gid=84296321" ref="DX167"/>
    <hyperlink r:id="rId949" location="gid=84296321" ref="R168"/>
    <hyperlink r:id="rId950" location="gid=84296321" ref="AB168"/>
    <hyperlink r:id="rId951" location="gid=84296321" ref="AL168"/>
    <hyperlink r:id="rId952" location="gid=84296321" ref="AV168"/>
    <hyperlink r:id="rId953" location="gid=84296321" ref="BF168"/>
    <hyperlink r:id="rId954" location="gid=84296321" ref="BP168"/>
    <hyperlink r:id="rId955" location="gid=84296321" ref="BZ168"/>
    <hyperlink r:id="rId956" location="gid=84296321" ref="CJ168"/>
    <hyperlink r:id="rId957" location="gid=84296321" ref="CT168"/>
    <hyperlink r:id="rId958" location="gid=84296321" ref="DD168"/>
    <hyperlink r:id="rId959" location="gid=84296321" ref="DN168"/>
    <hyperlink r:id="rId960" location="gid=84296321" ref="DX168"/>
    <hyperlink r:id="rId961" location="gid=84296321" ref="R169"/>
    <hyperlink r:id="rId962" location="gid=84296321" ref="AB169"/>
    <hyperlink r:id="rId963" location="gid=84296321" ref="AL169"/>
    <hyperlink r:id="rId964" location="gid=84296321" ref="AV169"/>
    <hyperlink r:id="rId965" location="gid=84296321" ref="BF169"/>
    <hyperlink r:id="rId966" location="gid=84296321" ref="BP169"/>
    <hyperlink r:id="rId967" location="gid=84296321" ref="BZ169"/>
    <hyperlink r:id="rId968" location="gid=84296321" ref="CJ169"/>
    <hyperlink r:id="rId969" location="gid=84296321" ref="CT169"/>
    <hyperlink r:id="rId970" location="gid=84296321" ref="DD169"/>
    <hyperlink r:id="rId971" location="gid=84296321" ref="DN169"/>
    <hyperlink r:id="rId972" location="gid=84296321" ref="DX169"/>
    <hyperlink r:id="rId973" location="gid=84296321" ref="R170"/>
    <hyperlink r:id="rId974" location="gid=84296321" ref="AB170"/>
    <hyperlink r:id="rId975" location="gid=84296321" ref="AL170"/>
    <hyperlink r:id="rId976" location="gid=84296321" ref="AV170"/>
    <hyperlink r:id="rId977" location="gid=84296321" ref="BF170"/>
    <hyperlink r:id="rId978" location="gid=84296321" ref="BP170"/>
    <hyperlink r:id="rId979" location="gid=84296321" ref="BZ170"/>
    <hyperlink r:id="rId980" location="gid=84296321" ref="CJ170"/>
    <hyperlink r:id="rId981" location="gid=84296321" ref="CT170"/>
    <hyperlink r:id="rId982" location="gid=84296321" ref="DD170"/>
    <hyperlink r:id="rId983" location="gid=84296321" ref="DN170"/>
    <hyperlink r:id="rId984" location="gid=84296321" ref="DX170"/>
    <hyperlink r:id="rId985" location="gid=84296321" ref="R171"/>
    <hyperlink r:id="rId986" location="gid=84296321" ref="AB171"/>
    <hyperlink r:id="rId987" location="gid=84296321" ref="AL171"/>
    <hyperlink r:id="rId988" location="gid=84296321" ref="AV171"/>
    <hyperlink r:id="rId989" location="gid=84296321" ref="BF171"/>
    <hyperlink r:id="rId990" location="gid=84296321" ref="BP171"/>
    <hyperlink r:id="rId991" location="gid=84296321" ref="BZ171"/>
    <hyperlink r:id="rId992" location="gid=84296321" ref="CJ171"/>
    <hyperlink r:id="rId993" location="gid=84296321" ref="CT171"/>
    <hyperlink r:id="rId994" location="gid=84296321" ref="DD171"/>
    <hyperlink r:id="rId995" location="gid=84296321" ref="DN171"/>
    <hyperlink r:id="rId996" location="gid=84296321" ref="DX171"/>
    <hyperlink r:id="rId997" location="gid=84296321" ref="R172"/>
    <hyperlink r:id="rId998" location="gid=84296321" ref="AB172"/>
    <hyperlink r:id="rId999" location="gid=84296321" ref="AL172"/>
    <hyperlink r:id="rId1000" location="gid=84296321" ref="AV172"/>
    <hyperlink r:id="rId1001" location="gid=84296321" ref="BF172"/>
    <hyperlink r:id="rId1002" location="gid=84296321" ref="BP172"/>
    <hyperlink r:id="rId1003" location="gid=84296321" ref="BZ172"/>
    <hyperlink r:id="rId1004" location="gid=84296321" ref="CJ172"/>
    <hyperlink r:id="rId1005" location="gid=84296321" ref="CT172"/>
    <hyperlink r:id="rId1006" location="gid=84296321" ref="DD172"/>
    <hyperlink r:id="rId1007" location="gid=84296321" ref="DN172"/>
    <hyperlink r:id="rId1008" location="gid=84296321" ref="DX172"/>
    <hyperlink r:id="rId1009" location="gid=84296321" ref="R173"/>
    <hyperlink r:id="rId1010" location="gid=84296321" ref="AB173"/>
    <hyperlink r:id="rId1011" location="gid=84296321" ref="AL173"/>
    <hyperlink r:id="rId1012" location="gid=84296321" ref="AV173"/>
    <hyperlink r:id="rId1013" location="gid=84296321" ref="BF173"/>
    <hyperlink r:id="rId1014" location="gid=84296321" ref="BP173"/>
    <hyperlink r:id="rId1015" location="gid=84296321" ref="BZ173"/>
    <hyperlink r:id="rId1016" location="gid=84296321" ref="CJ173"/>
    <hyperlink r:id="rId1017" location="gid=84296321" ref="CT173"/>
    <hyperlink r:id="rId1018" location="gid=84296321" ref="DD173"/>
    <hyperlink r:id="rId1019" location="gid=84296321" ref="DN173"/>
    <hyperlink r:id="rId1020" location="gid=84296321" ref="DX173"/>
    <hyperlink r:id="rId1021" location="gid=84296321" ref="R174"/>
    <hyperlink r:id="rId1022" location="gid=84296321" ref="AB174"/>
    <hyperlink r:id="rId1023" location="gid=84296321" ref="AL174"/>
    <hyperlink r:id="rId1024" location="gid=84296321" ref="AV174"/>
    <hyperlink r:id="rId1025" location="gid=84296321" ref="BF174"/>
    <hyperlink r:id="rId1026" location="gid=84296321" ref="BP174"/>
    <hyperlink r:id="rId1027" location="gid=84296321" ref="BZ174"/>
    <hyperlink r:id="rId1028" location="gid=84296321" ref="CJ174"/>
    <hyperlink r:id="rId1029" location="gid=84296321" ref="CT174"/>
    <hyperlink r:id="rId1030" location="gid=84296321" ref="DD174"/>
    <hyperlink r:id="rId1031" location="gid=84296321" ref="DN174"/>
    <hyperlink r:id="rId1032" location="gid=84296321" ref="DX174"/>
    <hyperlink r:id="rId1033" location="gid=84296321" ref="R175"/>
    <hyperlink r:id="rId1034" location="gid=84296321" ref="AB175"/>
    <hyperlink r:id="rId1035" location="gid=84296321" ref="AL175"/>
    <hyperlink r:id="rId1036" location="gid=84296321" ref="AV175"/>
    <hyperlink r:id="rId1037" location="gid=84296321" ref="BF175"/>
    <hyperlink r:id="rId1038" location="gid=84296321" ref="BP175"/>
    <hyperlink r:id="rId1039" location="gid=84296321" ref="BZ175"/>
    <hyperlink r:id="rId1040" location="gid=84296321" ref="CJ175"/>
    <hyperlink r:id="rId1041" location="gid=84296321" ref="CT175"/>
    <hyperlink r:id="rId1042" location="gid=84296321" ref="DD175"/>
    <hyperlink r:id="rId1043" location="gid=84296321" ref="DN175"/>
    <hyperlink r:id="rId1044" location="gid=84296321" ref="DX175"/>
    <hyperlink r:id="rId1045" location="gid=84296321" ref="R176"/>
    <hyperlink r:id="rId1046" location="gid=84296321" ref="AB176"/>
    <hyperlink r:id="rId1047" location="gid=84296321" ref="AL176"/>
    <hyperlink r:id="rId1048" location="gid=84296321" ref="AV176"/>
    <hyperlink r:id="rId1049" location="gid=84296321" ref="BF176"/>
    <hyperlink r:id="rId1050" location="gid=84296321" ref="BP176"/>
    <hyperlink r:id="rId1051" location="gid=84296321" ref="BZ176"/>
    <hyperlink r:id="rId1052" location="gid=84296321" ref="CJ176"/>
    <hyperlink r:id="rId1053" location="gid=84296321" ref="CT176"/>
    <hyperlink r:id="rId1054" location="gid=84296321" ref="DD176"/>
    <hyperlink r:id="rId1055" location="gid=84296321" ref="DN176"/>
    <hyperlink r:id="rId1056" location="gid=84296321" ref="DX176"/>
    <hyperlink r:id="rId1057" location="gid=84296321" ref="R177"/>
    <hyperlink r:id="rId1058" location="gid=84296321" ref="AB177"/>
    <hyperlink r:id="rId1059" location="gid=84296321" ref="AL177"/>
    <hyperlink r:id="rId1060" location="gid=84296321" ref="AV177"/>
    <hyperlink r:id="rId1061" location="gid=84296321" ref="BF177"/>
    <hyperlink r:id="rId1062" location="gid=84296321" ref="BP177"/>
    <hyperlink r:id="rId1063" location="gid=84296321" ref="BZ177"/>
    <hyperlink r:id="rId1064" location="gid=84296321" ref="CJ177"/>
    <hyperlink r:id="rId1065" location="gid=84296321" ref="CT177"/>
    <hyperlink r:id="rId1066" location="gid=84296321" ref="DD177"/>
    <hyperlink r:id="rId1067" location="gid=84296321" ref="DN177"/>
    <hyperlink r:id="rId1068" location="gid=84296321" ref="DX177"/>
    <hyperlink r:id="rId1069" location="gid=84296321" ref="R178"/>
    <hyperlink r:id="rId1070" location="gid=84296321" ref="AB178"/>
    <hyperlink r:id="rId1071" location="gid=84296321" ref="AL178"/>
    <hyperlink r:id="rId1072" location="gid=84296321" ref="AV178"/>
    <hyperlink r:id="rId1073" location="gid=84296321" ref="BF178"/>
    <hyperlink r:id="rId1074" location="gid=84296321" ref="BP178"/>
    <hyperlink r:id="rId1075" location="gid=84296321" ref="BZ178"/>
    <hyperlink r:id="rId1076" location="gid=84296321" ref="CJ178"/>
    <hyperlink r:id="rId1077" location="gid=84296321" ref="CT178"/>
    <hyperlink r:id="rId1078" location="gid=84296321" ref="DD178"/>
    <hyperlink r:id="rId1079" location="gid=84296321" ref="DN178"/>
    <hyperlink r:id="rId1080" location="gid=84296321" ref="DX178"/>
    <hyperlink r:id="rId1081" location="gid=84296321" ref="R179"/>
    <hyperlink r:id="rId1082" location="gid=84296321" ref="AB179"/>
    <hyperlink r:id="rId1083" location="gid=84296321" ref="AL179"/>
    <hyperlink r:id="rId1084" location="gid=84296321" ref="AV179"/>
    <hyperlink r:id="rId1085" location="gid=84296321" ref="BF179"/>
    <hyperlink r:id="rId1086" location="gid=84296321" ref="BP179"/>
    <hyperlink r:id="rId1087" location="gid=84296321" ref="BZ179"/>
    <hyperlink r:id="rId1088" location="gid=84296321" ref="CJ179"/>
    <hyperlink r:id="rId1089" location="gid=84296321" ref="CT179"/>
    <hyperlink r:id="rId1090" location="gid=84296321" ref="DD179"/>
    <hyperlink r:id="rId1091" location="gid=84296321" ref="DN179"/>
    <hyperlink r:id="rId1092" location="gid=84296321" ref="DX179"/>
    <hyperlink r:id="rId1093" location="gid=84296321" ref="R180"/>
    <hyperlink r:id="rId1094" location="gid=84296321" ref="AB180"/>
    <hyperlink r:id="rId1095" location="gid=84296321" ref="AL180"/>
    <hyperlink r:id="rId1096" location="gid=84296321" ref="AV180"/>
    <hyperlink r:id="rId1097" location="gid=84296321" ref="BF180"/>
    <hyperlink r:id="rId1098" location="gid=84296321" ref="BP180"/>
    <hyperlink r:id="rId1099" location="gid=84296321" ref="BZ180"/>
    <hyperlink r:id="rId1100" location="gid=84296321" ref="CJ180"/>
    <hyperlink r:id="rId1101" location="gid=84296321" ref="CT180"/>
    <hyperlink r:id="rId1102" location="gid=84296321" ref="DD180"/>
    <hyperlink r:id="rId1103" location="gid=84296321" ref="DN180"/>
    <hyperlink r:id="rId1104" location="gid=84296321" ref="DX180"/>
    <hyperlink r:id="rId1105" location="gid=84296321" ref="R181"/>
    <hyperlink r:id="rId1106" location="gid=84296321" ref="AB181"/>
    <hyperlink r:id="rId1107" location="gid=84296321" ref="AL181"/>
    <hyperlink r:id="rId1108" location="gid=84296321" ref="AV181"/>
    <hyperlink r:id="rId1109" location="gid=84296321" ref="BF181"/>
    <hyperlink r:id="rId1110" location="gid=84296321" ref="BP181"/>
    <hyperlink r:id="rId1111" location="gid=84296321" ref="BZ181"/>
    <hyperlink r:id="rId1112" location="gid=84296321" ref="CJ181"/>
    <hyperlink r:id="rId1113" location="gid=84296321" ref="CT181"/>
    <hyperlink r:id="rId1114" location="gid=84296321" ref="DD181"/>
    <hyperlink r:id="rId1115" location="gid=84296321" ref="DN181"/>
    <hyperlink r:id="rId1116" location="gid=84296321" ref="DX181"/>
    <hyperlink r:id="rId1117" location="gid=84296321" ref="R182"/>
    <hyperlink r:id="rId1118" location="gid=84296321" ref="AB182"/>
    <hyperlink r:id="rId1119" location="gid=84296321" ref="AL182"/>
    <hyperlink r:id="rId1120" location="gid=84296321" ref="AV182"/>
    <hyperlink r:id="rId1121" location="gid=84296321" ref="BF182"/>
    <hyperlink r:id="rId1122" location="gid=84296321" ref="BP182"/>
    <hyperlink r:id="rId1123" location="gid=84296321" ref="BZ182"/>
    <hyperlink r:id="rId1124" location="gid=84296321" ref="CJ182"/>
    <hyperlink r:id="rId1125" location="gid=84296321" ref="CT182"/>
    <hyperlink r:id="rId1126" location="gid=84296321" ref="DD182"/>
    <hyperlink r:id="rId1127" location="gid=84296321" ref="DN182"/>
    <hyperlink r:id="rId1128" location="gid=84296321" ref="DX182"/>
    <hyperlink r:id="rId1129" location="gid=84296321" ref="R183"/>
    <hyperlink r:id="rId1130" location="gid=84296321" ref="AB183"/>
    <hyperlink r:id="rId1131" location="gid=84296321" ref="AL183"/>
    <hyperlink r:id="rId1132" location="gid=84296321" ref="AV183"/>
    <hyperlink r:id="rId1133" location="gid=84296321" ref="BF183"/>
    <hyperlink r:id="rId1134" location="gid=84296321" ref="BP183"/>
    <hyperlink r:id="rId1135" location="gid=84296321" ref="BZ183"/>
    <hyperlink r:id="rId1136" location="gid=84296321" ref="CJ183"/>
    <hyperlink r:id="rId1137" location="gid=84296321" ref="CT183"/>
    <hyperlink r:id="rId1138" location="gid=84296321" ref="DD183"/>
    <hyperlink r:id="rId1139" location="gid=84296321" ref="DN183"/>
    <hyperlink r:id="rId1140" location="gid=84296321" ref="DX183"/>
    <hyperlink r:id="rId1141" location="gid=84296321" ref="R184"/>
    <hyperlink r:id="rId1142" location="gid=84296321" ref="AB184"/>
    <hyperlink r:id="rId1143" location="gid=84296321" ref="AL184"/>
    <hyperlink r:id="rId1144" location="gid=84296321" ref="AV184"/>
    <hyperlink r:id="rId1145" location="gid=84296321" ref="BF184"/>
    <hyperlink r:id="rId1146" location="gid=84296321" ref="BP184"/>
    <hyperlink r:id="rId1147" location="gid=84296321" ref="BZ184"/>
    <hyperlink r:id="rId1148" location="gid=84296321" ref="CJ184"/>
    <hyperlink r:id="rId1149" location="gid=84296321" ref="CT184"/>
    <hyperlink r:id="rId1150" location="gid=84296321" ref="DD184"/>
    <hyperlink r:id="rId1151" location="gid=84296321" ref="DN184"/>
    <hyperlink r:id="rId1152" location="gid=84296321" ref="DX184"/>
    <hyperlink r:id="rId1153" location="gid=84296321" ref="R185"/>
    <hyperlink r:id="rId1154" location="gid=84296321" ref="AB185"/>
    <hyperlink r:id="rId1155" location="gid=84296321" ref="AL185"/>
    <hyperlink r:id="rId1156" location="gid=84296321" ref="AV185"/>
    <hyperlink r:id="rId1157" location="gid=84296321" ref="BF185"/>
    <hyperlink r:id="rId1158" location="gid=84296321" ref="BP185"/>
    <hyperlink r:id="rId1159" location="gid=84296321" ref="BZ185"/>
    <hyperlink r:id="rId1160" location="gid=84296321" ref="CJ185"/>
    <hyperlink r:id="rId1161" location="gid=84296321" ref="CT185"/>
    <hyperlink r:id="rId1162" location="gid=84296321" ref="DD185"/>
    <hyperlink r:id="rId1163" location="gid=84296321" ref="DN185"/>
    <hyperlink r:id="rId1164" location="gid=84296321" ref="DX185"/>
    <hyperlink r:id="rId1165" location="gid=84296321" ref="R186"/>
    <hyperlink r:id="rId1166" location="gid=84296321" ref="AB186"/>
    <hyperlink r:id="rId1167" location="gid=84296321" ref="AL186"/>
    <hyperlink r:id="rId1168" location="gid=84296321" ref="AV186"/>
    <hyperlink r:id="rId1169" location="gid=84296321" ref="BF186"/>
    <hyperlink r:id="rId1170" location="gid=84296321" ref="BP186"/>
    <hyperlink r:id="rId1171" location="gid=84296321" ref="BZ186"/>
    <hyperlink r:id="rId1172" location="gid=84296321" ref="CJ186"/>
    <hyperlink r:id="rId1173" location="gid=84296321" ref="CT186"/>
    <hyperlink r:id="rId1174" location="gid=84296321" ref="DD186"/>
    <hyperlink r:id="rId1175" location="gid=84296321" ref="DN186"/>
    <hyperlink r:id="rId1176" location="gid=84296321" ref="DX186"/>
    <hyperlink r:id="rId1177" location="gid=84296321" ref="R187"/>
    <hyperlink r:id="rId1178" location="gid=84296321" ref="AB187"/>
    <hyperlink r:id="rId1179" location="gid=84296321" ref="AL187"/>
    <hyperlink r:id="rId1180" location="gid=84296321" ref="AV187"/>
    <hyperlink r:id="rId1181" location="gid=84296321" ref="BF187"/>
    <hyperlink r:id="rId1182" location="gid=84296321" ref="BP187"/>
    <hyperlink r:id="rId1183" location="gid=84296321" ref="BZ187"/>
    <hyperlink r:id="rId1184" location="gid=84296321" ref="CJ187"/>
    <hyperlink r:id="rId1185" location="gid=84296321" ref="CT187"/>
    <hyperlink r:id="rId1186" location="gid=84296321" ref="DD187"/>
    <hyperlink r:id="rId1187" location="gid=84296321" ref="DN187"/>
    <hyperlink r:id="rId1188" location="gid=84296321" ref="DX187"/>
    <hyperlink r:id="rId1189" location="gid=84296321" ref="R188"/>
    <hyperlink r:id="rId1190" location="gid=84296321" ref="AB188"/>
    <hyperlink r:id="rId1191" location="gid=84296321" ref="AL188"/>
    <hyperlink r:id="rId1192" location="gid=84296321" ref="AV188"/>
    <hyperlink r:id="rId1193" location="gid=84296321" ref="BF188"/>
    <hyperlink r:id="rId1194" location="gid=84296321" ref="BP188"/>
    <hyperlink r:id="rId1195" location="gid=84296321" ref="BZ188"/>
    <hyperlink r:id="rId1196" location="gid=84296321" ref="CJ188"/>
    <hyperlink r:id="rId1197" location="gid=84296321" ref="CT188"/>
    <hyperlink r:id="rId1198" location="gid=84296321" ref="DD188"/>
    <hyperlink r:id="rId1199" location="gid=84296321" ref="DN188"/>
    <hyperlink r:id="rId1200" location="gid=84296321" ref="DX188"/>
    <hyperlink r:id="rId1201" location="gid=84296321" ref="R189"/>
    <hyperlink r:id="rId1202" location="gid=84296321" ref="AB189"/>
    <hyperlink r:id="rId1203" location="gid=84296321" ref="AL189"/>
    <hyperlink r:id="rId1204" location="gid=84296321" ref="AV189"/>
    <hyperlink r:id="rId1205" location="gid=84296321" ref="BF189"/>
    <hyperlink r:id="rId1206" location="gid=84296321" ref="BP189"/>
    <hyperlink r:id="rId1207" location="gid=84296321" ref="BZ189"/>
    <hyperlink r:id="rId1208" location="gid=84296321" ref="CJ189"/>
    <hyperlink r:id="rId1209" location="gid=84296321" ref="CT189"/>
    <hyperlink r:id="rId1210" location="gid=84296321" ref="DD189"/>
    <hyperlink r:id="rId1211" location="gid=84296321" ref="DN189"/>
    <hyperlink r:id="rId1212" location="gid=84296321" ref="DX189"/>
    <hyperlink r:id="rId1213" location="gid=84296321" ref="R190"/>
    <hyperlink r:id="rId1214" location="gid=84296321" ref="AB190"/>
    <hyperlink r:id="rId1215" location="gid=84296321" ref="AL190"/>
    <hyperlink r:id="rId1216" location="gid=84296321" ref="AV190"/>
    <hyperlink r:id="rId1217" location="gid=84296321" ref="BF190"/>
    <hyperlink r:id="rId1218" location="gid=84296321" ref="BP190"/>
    <hyperlink r:id="rId1219" location="gid=84296321" ref="BZ190"/>
    <hyperlink r:id="rId1220" location="gid=84296321" ref="CJ190"/>
    <hyperlink r:id="rId1221" location="gid=84296321" ref="CT190"/>
    <hyperlink r:id="rId1222" location="gid=84296321" ref="DD190"/>
    <hyperlink r:id="rId1223" location="gid=84296321" ref="DN190"/>
    <hyperlink r:id="rId1224" location="gid=84296321" ref="DX190"/>
    <hyperlink r:id="rId1225" location="gid=84296321" ref="R191"/>
    <hyperlink r:id="rId1226" location="gid=84296321" ref="AB191"/>
    <hyperlink r:id="rId1227" location="gid=84296321" ref="AL191"/>
    <hyperlink r:id="rId1228" location="gid=84296321" ref="AV191"/>
    <hyperlink r:id="rId1229" location="gid=84296321" ref="BF191"/>
    <hyperlink r:id="rId1230" location="gid=84296321" ref="BP191"/>
    <hyperlink r:id="rId1231" location="gid=84296321" ref="BZ191"/>
    <hyperlink r:id="rId1232" location="gid=84296321" ref="CJ191"/>
    <hyperlink r:id="rId1233" location="gid=84296321" ref="CT191"/>
    <hyperlink r:id="rId1234" location="gid=84296321" ref="DD191"/>
    <hyperlink r:id="rId1235" location="gid=84296321" ref="DN191"/>
    <hyperlink r:id="rId1236" location="gid=84296321" ref="DX191"/>
    <hyperlink r:id="rId1237" location="gid=84296321" ref="R192"/>
    <hyperlink r:id="rId1238" location="gid=84296321" ref="AB192"/>
    <hyperlink r:id="rId1239" location="gid=84296321" ref="AL192"/>
    <hyperlink r:id="rId1240" location="gid=84296321" ref="AV192"/>
    <hyperlink r:id="rId1241" location="gid=84296321" ref="BF192"/>
    <hyperlink r:id="rId1242" location="gid=84296321" ref="BP192"/>
    <hyperlink r:id="rId1243" location="gid=84296321" ref="BZ192"/>
    <hyperlink r:id="rId1244" location="gid=84296321" ref="CJ192"/>
    <hyperlink r:id="rId1245" location="gid=84296321" ref="CT192"/>
    <hyperlink r:id="rId1246" location="gid=84296321" ref="DD192"/>
    <hyperlink r:id="rId1247" location="gid=84296321" ref="DN192"/>
    <hyperlink r:id="rId1248" location="gid=84296321" ref="DX192"/>
    <hyperlink r:id="rId1249" location="gid=84296321" ref="R193"/>
    <hyperlink r:id="rId1250" location="gid=84296321" ref="AB193"/>
    <hyperlink r:id="rId1251" location="gid=84296321" ref="AL193"/>
    <hyperlink r:id="rId1252" location="gid=84296321" ref="AV193"/>
    <hyperlink r:id="rId1253" location="gid=84296321" ref="BF193"/>
    <hyperlink r:id="rId1254" location="gid=84296321" ref="BP193"/>
    <hyperlink r:id="rId1255" location="gid=84296321" ref="BZ193"/>
    <hyperlink r:id="rId1256" location="gid=84296321" ref="CJ193"/>
    <hyperlink r:id="rId1257" location="gid=84296321" ref="CT193"/>
    <hyperlink r:id="rId1258" location="gid=84296321" ref="DD193"/>
    <hyperlink r:id="rId1259" location="gid=84296321" ref="DN193"/>
    <hyperlink r:id="rId1260" location="gid=84296321" ref="DX193"/>
    <hyperlink r:id="rId1261" location="gid=84296321" ref="R194"/>
    <hyperlink r:id="rId1262" location="gid=84296321" ref="AB194"/>
    <hyperlink r:id="rId1263" location="gid=84296321" ref="AL194"/>
    <hyperlink r:id="rId1264" location="gid=84296321" ref="AV194"/>
    <hyperlink r:id="rId1265" location="gid=84296321" ref="BF194"/>
    <hyperlink r:id="rId1266" location="gid=84296321" ref="BP194"/>
    <hyperlink r:id="rId1267" location="gid=84296321" ref="BZ194"/>
    <hyperlink r:id="rId1268" location="gid=84296321" ref="CJ194"/>
    <hyperlink r:id="rId1269" location="gid=84296321" ref="CT194"/>
    <hyperlink r:id="rId1270" location="gid=84296321" ref="DD194"/>
    <hyperlink r:id="rId1271" location="gid=84296321" ref="DN194"/>
    <hyperlink r:id="rId1272" location="gid=84296321" ref="DX194"/>
    <hyperlink r:id="rId1273" location="gid=84296321" ref="R195"/>
    <hyperlink r:id="rId1274" location="gid=84296321" ref="AB195"/>
    <hyperlink r:id="rId1275" location="gid=84296321" ref="AL195"/>
    <hyperlink r:id="rId1276" location="gid=84296321" ref="AV195"/>
    <hyperlink r:id="rId1277" location="gid=84296321" ref="BF195"/>
    <hyperlink r:id="rId1278" location="gid=84296321" ref="BP195"/>
    <hyperlink r:id="rId1279" location="gid=84296321" ref="BZ195"/>
    <hyperlink r:id="rId1280" location="gid=84296321" ref="CJ195"/>
    <hyperlink r:id="rId1281" location="gid=84296321" ref="CT195"/>
    <hyperlink r:id="rId1282" location="gid=84296321" ref="DD195"/>
    <hyperlink r:id="rId1283" location="gid=84296321" ref="DN195"/>
    <hyperlink r:id="rId1284" location="gid=84296321" ref="DX195"/>
    <hyperlink r:id="rId1285" location="gid=84296321" ref="R196"/>
    <hyperlink r:id="rId1286" location="gid=84296321" ref="AB196"/>
    <hyperlink r:id="rId1287" location="gid=84296321" ref="AL196"/>
    <hyperlink r:id="rId1288" location="gid=84296321" ref="AV196"/>
    <hyperlink r:id="rId1289" location="gid=84296321" ref="BF196"/>
    <hyperlink r:id="rId1290" location="gid=84296321" ref="BP196"/>
    <hyperlink r:id="rId1291" location="gid=84296321" ref="BZ196"/>
    <hyperlink r:id="rId1292" location="gid=84296321" ref="CJ196"/>
    <hyperlink r:id="rId1293" location="gid=84296321" ref="CT196"/>
    <hyperlink r:id="rId1294" location="gid=84296321" ref="DD196"/>
    <hyperlink r:id="rId1295" location="gid=84296321" ref="DN196"/>
    <hyperlink r:id="rId1296" location="gid=84296321" ref="DX196"/>
    <hyperlink r:id="rId1297" location="gid=84296321" ref="R197"/>
    <hyperlink r:id="rId1298" location="gid=84296321" ref="AB197"/>
    <hyperlink r:id="rId1299" location="gid=84296321" ref="AL197"/>
    <hyperlink r:id="rId1300" location="gid=84296321" ref="AV197"/>
    <hyperlink r:id="rId1301" location="gid=84296321" ref="BF197"/>
    <hyperlink r:id="rId1302" location="gid=84296321" ref="BP197"/>
    <hyperlink r:id="rId1303" location="gid=84296321" ref="BZ197"/>
    <hyperlink r:id="rId1304" location="gid=84296321" ref="CJ197"/>
    <hyperlink r:id="rId1305" location="gid=84296321" ref="CT197"/>
    <hyperlink r:id="rId1306" location="gid=84296321" ref="DD197"/>
    <hyperlink r:id="rId1307" location="gid=84296321" ref="DN197"/>
    <hyperlink r:id="rId1308" location="gid=84296321" ref="DX197"/>
    <hyperlink r:id="rId1309" location="gid=84296321" ref="R198"/>
    <hyperlink r:id="rId1310" location="gid=84296321" ref="AB198"/>
    <hyperlink r:id="rId1311" location="gid=84296321" ref="AL198"/>
    <hyperlink r:id="rId1312" location="gid=84296321" ref="AV198"/>
    <hyperlink r:id="rId1313" location="gid=84296321" ref="BF198"/>
    <hyperlink r:id="rId1314" location="gid=84296321" ref="BP198"/>
    <hyperlink r:id="rId1315" location="gid=84296321" ref="BZ198"/>
    <hyperlink r:id="rId1316" location="gid=84296321" ref="CJ198"/>
    <hyperlink r:id="rId1317" location="gid=84296321" ref="CT198"/>
    <hyperlink r:id="rId1318" location="gid=84296321" ref="DD198"/>
    <hyperlink r:id="rId1319" location="gid=84296321" ref="DN198"/>
    <hyperlink r:id="rId1320" location="gid=84296321" ref="DX198"/>
    <hyperlink r:id="rId1321" location="gid=84296321" ref="R199"/>
    <hyperlink r:id="rId1322" location="gid=84296321" ref="AB199"/>
    <hyperlink r:id="rId1323" location="gid=84296321" ref="AL199"/>
    <hyperlink r:id="rId1324" location="gid=84296321" ref="AV199"/>
    <hyperlink r:id="rId1325" location="gid=84296321" ref="BF199"/>
    <hyperlink r:id="rId1326" location="gid=84296321" ref="BP199"/>
    <hyperlink r:id="rId1327" location="gid=84296321" ref="BZ199"/>
    <hyperlink r:id="rId1328" location="gid=84296321" ref="CJ199"/>
    <hyperlink r:id="rId1329" location="gid=84296321" ref="CT199"/>
    <hyperlink r:id="rId1330" location="gid=84296321" ref="DD199"/>
    <hyperlink r:id="rId1331" location="gid=84296321" ref="DN199"/>
    <hyperlink r:id="rId1332" location="gid=84296321" ref="DX199"/>
    <hyperlink r:id="rId1333" location="gid=84296321" ref="R200"/>
    <hyperlink r:id="rId1334" location="gid=84296321" ref="AB200"/>
    <hyperlink r:id="rId1335" location="gid=84296321" ref="AL200"/>
    <hyperlink r:id="rId1336" location="gid=84296321" ref="AV200"/>
    <hyperlink r:id="rId1337" location="gid=84296321" ref="BF200"/>
    <hyperlink r:id="rId1338" location="gid=84296321" ref="BP200"/>
    <hyperlink r:id="rId1339" location="gid=84296321" ref="BZ200"/>
    <hyperlink r:id="rId1340" location="gid=84296321" ref="CJ200"/>
    <hyperlink r:id="rId1341" location="gid=84296321" ref="CT200"/>
    <hyperlink r:id="rId1342" location="gid=84296321" ref="DD200"/>
    <hyperlink r:id="rId1343" location="gid=84296321" ref="DN200"/>
    <hyperlink r:id="rId1344" location="gid=84296321" ref="DX200"/>
    <hyperlink r:id="rId1345" location="gid=84296321" ref="R201"/>
    <hyperlink r:id="rId1346" location="gid=84296321" ref="AB201"/>
    <hyperlink r:id="rId1347" location="gid=84296321" ref="AL201"/>
    <hyperlink r:id="rId1348" location="gid=84296321" ref="AV201"/>
    <hyperlink r:id="rId1349" location="gid=84296321" ref="BF201"/>
    <hyperlink r:id="rId1350" location="gid=84296321" ref="BP201"/>
    <hyperlink r:id="rId1351" location="gid=84296321" ref="BZ201"/>
    <hyperlink r:id="rId1352" location="gid=84296321" ref="CJ201"/>
    <hyperlink r:id="rId1353" location="gid=84296321" ref="CT201"/>
    <hyperlink r:id="rId1354" location="gid=84296321" ref="DD201"/>
    <hyperlink r:id="rId1355" location="gid=84296321" ref="DN201"/>
    <hyperlink r:id="rId1356" location="gid=84296321" ref="DX201"/>
    <hyperlink r:id="rId1357" location="gid=84296321" ref="R202"/>
    <hyperlink r:id="rId1358" location="gid=84296321" ref="AB202"/>
    <hyperlink r:id="rId1359" location="gid=84296321" ref="AL202"/>
    <hyperlink r:id="rId1360" location="gid=84296321" ref="AV202"/>
    <hyperlink r:id="rId1361" location="gid=84296321" ref="BF202"/>
    <hyperlink r:id="rId1362" location="gid=84296321" ref="BP202"/>
    <hyperlink r:id="rId1363" location="gid=84296321" ref="BZ202"/>
    <hyperlink r:id="rId1364" location="gid=84296321" ref="CJ202"/>
    <hyperlink r:id="rId1365" location="gid=84296321" ref="CT202"/>
    <hyperlink r:id="rId1366" location="gid=84296321" ref="DD202"/>
    <hyperlink r:id="rId1367" location="gid=84296321" ref="DN202"/>
    <hyperlink r:id="rId1368" location="gid=84296321" ref="DX202"/>
    <hyperlink r:id="rId1369" location="gid=84296321" ref="R203"/>
    <hyperlink r:id="rId1370" location="gid=84296321" ref="AB203"/>
    <hyperlink r:id="rId1371" location="gid=84296321" ref="AL203"/>
    <hyperlink r:id="rId1372" location="gid=84296321" ref="AV203"/>
    <hyperlink r:id="rId1373" location="gid=84296321" ref="BF203"/>
    <hyperlink r:id="rId1374" location="gid=84296321" ref="BP203"/>
    <hyperlink r:id="rId1375" location="gid=84296321" ref="BZ203"/>
    <hyperlink r:id="rId1376" location="gid=84296321" ref="CJ203"/>
    <hyperlink r:id="rId1377" location="gid=84296321" ref="CT203"/>
    <hyperlink r:id="rId1378" location="gid=84296321" ref="DD203"/>
    <hyperlink r:id="rId1379" location="gid=84296321" ref="DN203"/>
    <hyperlink r:id="rId1380" location="gid=84296321" ref="DX203"/>
    <hyperlink r:id="rId1381" location="gid=84296321" ref="R204"/>
    <hyperlink r:id="rId1382" location="gid=84296321" ref="AB204"/>
    <hyperlink r:id="rId1383" location="gid=84296321" ref="AL204"/>
    <hyperlink r:id="rId1384" location="gid=84296321" ref="AV204"/>
    <hyperlink r:id="rId1385" location="gid=84296321" ref="BF204"/>
    <hyperlink r:id="rId1386" location="gid=84296321" ref="BP204"/>
    <hyperlink r:id="rId1387" location="gid=84296321" ref="BZ204"/>
    <hyperlink r:id="rId1388" location="gid=84296321" ref="CJ204"/>
    <hyperlink r:id="rId1389" location="gid=84296321" ref="CT204"/>
    <hyperlink r:id="rId1390" location="gid=84296321" ref="DD204"/>
    <hyperlink r:id="rId1391" location="gid=84296321" ref="DN204"/>
    <hyperlink r:id="rId1392" location="gid=84296321" ref="DX204"/>
    <hyperlink r:id="rId1393" location="gid=84296321" ref="R205"/>
    <hyperlink r:id="rId1394" location="gid=84296321" ref="AB205"/>
    <hyperlink r:id="rId1395" location="gid=84296321" ref="AL205"/>
    <hyperlink r:id="rId1396" location="gid=84296321" ref="AV205"/>
    <hyperlink r:id="rId1397" location="gid=84296321" ref="BF205"/>
    <hyperlink r:id="rId1398" location="gid=84296321" ref="BP205"/>
    <hyperlink r:id="rId1399" location="gid=84296321" ref="BZ205"/>
    <hyperlink r:id="rId1400" location="gid=84296321" ref="CJ205"/>
    <hyperlink r:id="rId1401" location="gid=84296321" ref="CT205"/>
    <hyperlink r:id="rId1402" location="gid=84296321" ref="DD205"/>
    <hyperlink r:id="rId1403" location="gid=84296321" ref="DN205"/>
    <hyperlink r:id="rId1404" location="gid=84296321" ref="DX205"/>
    <hyperlink r:id="rId1405" location="gid=84296321" ref="R206"/>
    <hyperlink r:id="rId1406" location="gid=84296321" ref="AB206"/>
    <hyperlink r:id="rId1407" location="gid=84296321" ref="AL206"/>
    <hyperlink r:id="rId1408" location="gid=84296321" ref="AV206"/>
    <hyperlink r:id="rId1409" location="gid=84296321" ref="BF206"/>
    <hyperlink r:id="rId1410" location="gid=84296321" ref="BP206"/>
    <hyperlink r:id="rId1411" location="gid=84296321" ref="BZ206"/>
    <hyperlink r:id="rId1412" location="gid=84296321" ref="CJ206"/>
    <hyperlink r:id="rId1413" location="gid=84296321" ref="CT206"/>
    <hyperlink r:id="rId1414" location="gid=84296321" ref="DD206"/>
    <hyperlink r:id="rId1415" location="gid=84296321" ref="DN206"/>
    <hyperlink r:id="rId1416" location="gid=84296321" ref="DX206"/>
    <hyperlink r:id="rId1417" location="gid=84296321" ref="R207"/>
    <hyperlink r:id="rId1418" location="gid=84296321" ref="AB207"/>
    <hyperlink r:id="rId1419" location="gid=84296321" ref="AL207"/>
    <hyperlink r:id="rId1420" location="gid=84296321" ref="AV207"/>
    <hyperlink r:id="rId1421" location="gid=84296321" ref="BF207"/>
    <hyperlink r:id="rId1422" location="gid=84296321" ref="BP207"/>
    <hyperlink r:id="rId1423" location="gid=84296321" ref="BZ207"/>
    <hyperlink r:id="rId1424" location="gid=84296321" ref="CJ207"/>
    <hyperlink r:id="rId1425" location="gid=84296321" ref="CT207"/>
    <hyperlink r:id="rId1426" location="gid=84296321" ref="DD207"/>
    <hyperlink r:id="rId1427" location="gid=84296321" ref="DN207"/>
    <hyperlink r:id="rId1428" location="gid=84296321" ref="DX207"/>
    <hyperlink r:id="rId1429" location="gid=84296321" ref="R208"/>
    <hyperlink r:id="rId1430" location="gid=84296321" ref="AB208"/>
    <hyperlink r:id="rId1431" location="gid=84296321" ref="AL208"/>
    <hyperlink r:id="rId1432" location="gid=84296321" ref="AV208"/>
    <hyperlink r:id="rId1433" location="gid=84296321" ref="BF208"/>
    <hyperlink r:id="rId1434" location="gid=84296321" ref="BP208"/>
    <hyperlink r:id="rId1435" location="gid=84296321" ref="BZ208"/>
    <hyperlink r:id="rId1436" location="gid=84296321" ref="CJ208"/>
    <hyperlink r:id="rId1437" location="gid=84296321" ref="CT208"/>
    <hyperlink r:id="rId1438" location="gid=84296321" ref="DD208"/>
    <hyperlink r:id="rId1439" location="gid=84296321" ref="DN208"/>
    <hyperlink r:id="rId1440" location="gid=84296321" ref="DX208"/>
    <hyperlink r:id="rId1441" location="gid=84296321" ref="R209"/>
    <hyperlink r:id="rId1442" location="gid=84296321" ref="AB209"/>
    <hyperlink r:id="rId1443" location="gid=84296321" ref="AL209"/>
    <hyperlink r:id="rId1444" location="gid=84296321" ref="AV209"/>
    <hyperlink r:id="rId1445" location="gid=84296321" ref="BF209"/>
    <hyperlink r:id="rId1446" location="gid=84296321" ref="BP209"/>
    <hyperlink r:id="rId1447" location="gid=84296321" ref="BZ209"/>
    <hyperlink r:id="rId1448" location="gid=84296321" ref="CJ209"/>
    <hyperlink r:id="rId1449" location="gid=84296321" ref="CT209"/>
    <hyperlink r:id="rId1450" location="gid=84296321" ref="DD209"/>
    <hyperlink r:id="rId1451" location="gid=84296321" ref="DN209"/>
    <hyperlink r:id="rId1452" location="gid=84296321" ref="DX209"/>
    <hyperlink r:id="rId1453" location="gid=84296321" ref="R210"/>
    <hyperlink r:id="rId1454" location="gid=84296321" ref="AB210"/>
    <hyperlink r:id="rId1455" location="gid=84296321" ref="AL210"/>
    <hyperlink r:id="rId1456" location="gid=84296321" ref="AV210"/>
    <hyperlink r:id="rId1457" location="gid=84296321" ref="BF210"/>
    <hyperlink r:id="rId1458" location="gid=84296321" ref="BP210"/>
    <hyperlink r:id="rId1459" location="gid=84296321" ref="BZ210"/>
    <hyperlink r:id="rId1460" location="gid=84296321" ref="CJ210"/>
    <hyperlink r:id="rId1461" location="gid=84296321" ref="CT210"/>
    <hyperlink r:id="rId1462" location="gid=84296321" ref="DD210"/>
    <hyperlink r:id="rId1463" location="gid=84296321" ref="DN210"/>
    <hyperlink r:id="rId1464" location="gid=84296321" ref="DX210"/>
    <hyperlink r:id="rId1465" location="gid=84296321" ref="R211"/>
    <hyperlink r:id="rId1466" location="gid=84296321" ref="AB211"/>
    <hyperlink r:id="rId1467" location="gid=84296321" ref="AL211"/>
    <hyperlink r:id="rId1468" location="gid=84296321" ref="AV211"/>
    <hyperlink r:id="rId1469" location="gid=84296321" ref="BF211"/>
    <hyperlink r:id="rId1470" location="gid=84296321" ref="BP211"/>
    <hyperlink r:id="rId1471" location="gid=84296321" ref="BZ211"/>
    <hyperlink r:id="rId1472" location="gid=84296321" ref="CJ211"/>
    <hyperlink r:id="rId1473" location="gid=84296321" ref="CT211"/>
    <hyperlink r:id="rId1474" location="gid=84296321" ref="DD211"/>
    <hyperlink r:id="rId1475" location="gid=84296321" ref="DN211"/>
    <hyperlink r:id="rId1476" location="gid=84296321" ref="DX211"/>
    <hyperlink r:id="rId1477" location="gid=84296321" ref="R212"/>
    <hyperlink r:id="rId1478" location="gid=84296321" ref="AB212"/>
    <hyperlink r:id="rId1479" location="gid=84296321" ref="AL212"/>
    <hyperlink r:id="rId1480" location="gid=84296321" ref="AV212"/>
    <hyperlink r:id="rId1481" location="gid=84296321" ref="BF212"/>
    <hyperlink r:id="rId1482" location="gid=84296321" ref="BP212"/>
    <hyperlink r:id="rId1483" location="gid=84296321" ref="BZ212"/>
    <hyperlink r:id="rId1484" location="gid=84296321" ref="CJ212"/>
    <hyperlink r:id="rId1485" location="gid=84296321" ref="CT212"/>
    <hyperlink r:id="rId1486" location="gid=84296321" ref="DD212"/>
    <hyperlink r:id="rId1487" location="gid=84296321" ref="DN212"/>
    <hyperlink r:id="rId1488" location="gid=84296321" ref="DX212"/>
    <hyperlink r:id="rId1489" location="gid=84296321" ref="R213"/>
    <hyperlink r:id="rId1490" location="gid=84296321" ref="AB213"/>
    <hyperlink r:id="rId1491" location="gid=84296321" ref="AL213"/>
    <hyperlink r:id="rId1492" location="gid=84296321" ref="AV213"/>
    <hyperlink r:id="rId1493" location="gid=84296321" ref="BF213"/>
    <hyperlink r:id="rId1494" location="gid=84296321" ref="BP213"/>
    <hyperlink r:id="rId1495" location="gid=84296321" ref="BZ213"/>
    <hyperlink r:id="rId1496" location="gid=84296321" ref="CJ213"/>
    <hyperlink r:id="rId1497" location="gid=84296321" ref="CT213"/>
    <hyperlink r:id="rId1498" location="gid=84296321" ref="DD213"/>
    <hyperlink r:id="rId1499" location="gid=84296321" ref="DN213"/>
    <hyperlink r:id="rId1500" location="gid=84296321" ref="DX213"/>
    <hyperlink r:id="rId1501" location="gid=84296321" ref="R214"/>
    <hyperlink r:id="rId1502" location="gid=84296321" ref="AB214"/>
    <hyperlink r:id="rId1503" location="gid=84296321" ref="AL214"/>
    <hyperlink r:id="rId1504" location="gid=84296321" ref="AV214"/>
    <hyperlink r:id="rId1505" location="gid=84296321" ref="BF214"/>
    <hyperlink r:id="rId1506" location="gid=84296321" ref="BP214"/>
    <hyperlink r:id="rId1507" location="gid=84296321" ref="BZ214"/>
    <hyperlink r:id="rId1508" location="gid=84296321" ref="CJ214"/>
    <hyperlink r:id="rId1509" location="gid=84296321" ref="CT214"/>
    <hyperlink r:id="rId1510" location="gid=84296321" ref="DD214"/>
    <hyperlink r:id="rId1511" location="gid=84296321" ref="DN214"/>
    <hyperlink r:id="rId1512" location="gid=84296321" ref="DX214"/>
    <hyperlink r:id="rId1513" location="gid=84296321" ref="R215"/>
    <hyperlink r:id="rId1514" location="gid=84296321" ref="AB215"/>
    <hyperlink r:id="rId1515" location="gid=84296321" ref="AL215"/>
    <hyperlink r:id="rId1516" location="gid=84296321" ref="AV215"/>
    <hyperlink r:id="rId1517" location="gid=84296321" ref="BF215"/>
    <hyperlink r:id="rId1518" location="gid=84296321" ref="BP215"/>
    <hyperlink r:id="rId1519" location="gid=84296321" ref="BZ215"/>
    <hyperlink r:id="rId1520" location="gid=84296321" ref="CJ215"/>
    <hyperlink r:id="rId1521" location="gid=84296321" ref="CT215"/>
    <hyperlink r:id="rId1522" location="gid=84296321" ref="DD215"/>
    <hyperlink r:id="rId1523" location="gid=84296321" ref="DN215"/>
    <hyperlink r:id="rId1524" location="gid=84296321" ref="DX215"/>
    <hyperlink r:id="rId1525" location="gid=84296321" ref="R216"/>
    <hyperlink r:id="rId1526" location="gid=84296321" ref="AB216"/>
    <hyperlink r:id="rId1527" location="gid=84296321" ref="AL216"/>
    <hyperlink r:id="rId1528" location="gid=84296321" ref="AV216"/>
    <hyperlink r:id="rId1529" location="gid=84296321" ref="BF216"/>
    <hyperlink r:id="rId1530" location="gid=84296321" ref="BP216"/>
    <hyperlink r:id="rId1531" location="gid=84296321" ref="BZ216"/>
    <hyperlink r:id="rId1532" location="gid=84296321" ref="CJ216"/>
    <hyperlink r:id="rId1533" location="gid=84296321" ref="CT216"/>
    <hyperlink r:id="rId1534" location="gid=84296321" ref="DD216"/>
    <hyperlink r:id="rId1535" location="gid=84296321" ref="DN216"/>
    <hyperlink r:id="rId1536" location="gid=84296321" ref="DX216"/>
    <hyperlink r:id="rId1537" location="gid=84296321" ref="R217"/>
    <hyperlink r:id="rId1538" location="gid=84296321" ref="AB217"/>
    <hyperlink r:id="rId1539" location="gid=84296321" ref="AL217"/>
    <hyperlink r:id="rId1540" location="gid=84296321" ref="AV217"/>
    <hyperlink r:id="rId1541" location="gid=84296321" ref="BF217"/>
    <hyperlink r:id="rId1542" location="gid=84296321" ref="BP217"/>
    <hyperlink r:id="rId1543" location="gid=84296321" ref="BZ217"/>
    <hyperlink r:id="rId1544" location="gid=84296321" ref="CJ217"/>
    <hyperlink r:id="rId1545" location="gid=84296321" ref="CT217"/>
    <hyperlink r:id="rId1546" location="gid=84296321" ref="DD217"/>
    <hyperlink r:id="rId1547" location="gid=84296321" ref="DN217"/>
    <hyperlink r:id="rId1548" location="gid=84296321" ref="DX217"/>
    <hyperlink r:id="rId1549" location="gid=84296321" ref="R218"/>
    <hyperlink r:id="rId1550" location="gid=84296321" ref="AB218"/>
    <hyperlink r:id="rId1551" location="gid=84296321" ref="AL218"/>
    <hyperlink r:id="rId1552" location="gid=84296321" ref="AV218"/>
    <hyperlink r:id="rId1553" location="gid=84296321" ref="BF218"/>
    <hyperlink r:id="rId1554" location="gid=84296321" ref="BP218"/>
    <hyperlink r:id="rId1555" location="gid=84296321" ref="BZ218"/>
    <hyperlink r:id="rId1556" location="gid=84296321" ref="CJ218"/>
    <hyperlink r:id="rId1557" location="gid=84296321" ref="CT218"/>
    <hyperlink r:id="rId1558" location="gid=84296321" ref="DD218"/>
    <hyperlink r:id="rId1559" location="gid=84296321" ref="DN218"/>
    <hyperlink r:id="rId1560" location="gid=84296321" ref="DX218"/>
    <hyperlink r:id="rId1561" location="gid=84296321" ref="R219"/>
    <hyperlink r:id="rId1562" location="gid=84296321" ref="AB219"/>
    <hyperlink r:id="rId1563" location="gid=84296321" ref="AL219"/>
    <hyperlink r:id="rId1564" location="gid=84296321" ref="AV219"/>
    <hyperlink r:id="rId1565" location="gid=84296321" ref="BF219"/>
    <hyperlink r:id="rId1566" location="gid=84296321" ref="BP219"/>
    <hyperlink r:id="rId1567" location="gid=84296321" ref="BZ219"/>
    <hyperlink r:id="rId1568" location="gid=84296321" ref="CJ219"/>
    <hyperlink r:id="rId1569" location="gid=84296321" ref="CT219"/>
    <hyperlink r:id="rId1570" location="gid=84296321" ref="DD219"/>
    <hyperlink r:id="rId1571" location="gid=84296321" ref="DN219"/>
    <hyperlink r:id="rId1572" location="gid=84296321" ref="DX219"/>
    <hyperlink r:id="rId1573" location="gid=84296321" ref="R220"/>
    <hyperlink r:id="rId1574" location="gid=84296321" ref="AB220"/>
    <hyperlink r:id="rId1575" location="gid=84296321" ref="AL220"/>
    <hyperlink r:id="rId1576" location="gid=84296321" ref="AV220"/>
    <hyperlink r:id="rId1577" location="gid=84296321" ref="BF220"/>
    <hyperlink r:id="rId1578" location="gid=84296321" ref="BP220"/>
    <hyperlink r:id="rId1579" location="gid=84296321" ref="BZ220"/>
    <hyperlink r:id="rId1580" location="gid=84296321" ref="CJ220"/>
    <hyperlink r:id="rId1581" location="gid=84296321" ref="CT220"/>
    <hyperlink r:id="rId1582" location="gid=84296321" ref="DD220"/>
    <hyperlink r:id="rId1583" location="gid=84296321" ref="DN220"/>
    <hyperlink r:id="rId1584" location="gid=84296321" ref="DX220"/>
    <hyperlink r:id="rId1585" location="gid=84296321" ref="R221"/>
    <hyperlink r:id="rId1586" location="gid=84296321" ref="AB221"/>
    <hyperlink r:id="rId1587" location="gid=84296321" ref="AL221"/>
    <hyperlink r:id="rId1588" location="gid=84296321" ref="AV221"/>
    <hyperlink r:id="rId1589" location="gid=84296321" ref="BF221"/>
    <hyperlink r:id="rId1590" location="gid=84296321" ref="BP221"/>
    <hyperlink r:id="rId1591" location="gid=84296321" ref="BZ221"/>
    <hyperlink r:id="rId1592" location="gid=84296321" ref="CJ221"/>
    <hyperlink r:id="rId1593" location="gid=84296321" ref="CT221"/>
    <hyperlink r:id="rId1594" location="gid=84296321" ref="DD221"/>
    <hyperlink r:id="rId1595" location="gid=84296321" ref="DN221"/>
    <hyperlink r:id="rId1596" location="gid=84296321" ref="DX221"/>
    <hyperlink r:id="rId1597" location="gid=84296321" ref="R222"/>
    <hyperlink r:id="rId1598" location="gid=84296321" ref="AB222"/>
    <hyperlink r:id="rId1599" location="gid=84296321" ref="AL222"/>
    <hyperlink r:id="rId1600" location="gid=84296321" ref="AV222"/>
    <hyperlink r:id="rId1601" location="gid=84296321" ref="BF222"/>
    <hyperlink r:id="rId1602" location="gid=84296321" ref="BP222"/>
    <hyperlink r:id="rId1603" location="gid=84296321" ref="BZ222"/>
    <hyperlink r:id="rId1604" location="gid=84296321" ref="CJ222"/>
    <hyperlink r:id="rId1605" location="gid=84296321" ref="CT222"/>
    <hyperlink r:id="rId1606" location="gid=84296321" ref="DD222"/>
    <hyperlink r:id="rId1607" location="gid=84296321" ref="DN222"/>
    <hyperlink r:id="rId1608" location="gid=84296321" ref="DX222"/>
    <hyperlink r:id="rId1609" location="gid=84296321" ref="R223"/>
    <hyperlink r:id="rId1610" location="gid=84296321" ref="AB223"/>
    <hyperlink r:id="rId1611" location="gid=84296321" ref="AL223"/>
    <hyperlink r:id="rId1612" location="gid=84296321" ref="AV223"/>
    <hyperlink r:id="rId1613" location="gid=84296321" ref="BF223"/>
    <hyperlink r:id="rId1614" location="gid=84296321" ref="BP223"/>
    <hyperlink r:id="rId1615" location="gid=84296321" ref="BZ223"/>
    <hyperlink r:id="rId1616" location="gid=84296321" ref="CJ223"/>
    <hyperlink r:id="rId1617" location="gid=84296321" ref="CT223"/>
    <hyperlink r:id="rId1618" location="gid=84296321" ref="DD223"/>
    <hyperlink r:id="rId1619" location="gid=84296321" ref="DN223"/>
    <hyperlink r:id="rId1620" location="gid=84296321" ref="DX223"/>
    <hyperlink r:id="rId1621" location="gid=84296321" ref="R224"/>
    <hyperlink r:id="rId1622" location="gid=84296321" ref="AB224"/>
    <hyperlink r:id="rId1623" location="gid=84296321" ref="AL224"/>
    <hyperlink r:id="rId1624" location="gid=84296321" ref="AV224"/>
    <hyperlink r:id="rId1625" location="gid=84296321" ref="BF224"/>
    <hyperlink r:id="rId1626" location="gid=84296321" ref="BP224"/>
    <hyperlink r:id="rId1627" location="gid=84296321" ref="BZ224"/>
    <hyperlink r:id="rId1628" location="gid=84296321" ref="CJ224"/>
    <hyperlink r:id="rId1629" location="gid=84296321" ref="CT224"/>
    <hyperlink r:id="rId1630" location="gid=84296321" ref="DD224"/>
    <hyperlink r:id="rId1631" location="gid=84296321" ref="DN224"/>
    <hyperlink r:id="rId1632" location="gid=84296321" ref="DX224"/>
    <hyperlink r:id="rId1633" location="gid=84296321" ref="R225"/>
    <hyperlink r:id="rId1634" location="gid=84296321" ref="AB225"/>
    <hyperlink r:id="rId1635" location="gid=84296321" ref="AL225"/>
    <hyperlink r:id="rId1636" location="gid=84296321" ref="AV225"/>
    <hyperlink r:id="rId1637" location="gid=84296321" ref="BF225"/>
    <hyperlink r:id="rId1638" location="gid=84296321" ref="BP225"/>
    <hyperlink r:id="rId1639" location="gid=84296321" ref="BZ225"/>
    <hyperlink r:id="rId1640" location="gid=84296321" ref="CJ225"/>
    <hyperlink r:id="rId1641" location="gid=84296321" ref="CT225"/>
    <hyperlink r:id="rId1642" location="gid=84296321" ref="DD225"/>
    <hyperlink r:id="rId1643" location="gid=84296321" ref="DN225"/>
    <hyperlink r:id="rId1644" location="gid=84296321" ref="DX225"/>
    <hyperlink r:id="rId1645" location="gid=84296321" ref="R226"/>
    <hyperlink r:id="rId1646" location="gid=84296321" ref="AB226"/>
    <hyperlink r:id="rId1647" location="gid=84296321" ref="AL226"/>
    <hyperlink r:id="rId1648" location="gid=84296321" ref="AV226"/>
    <hyperlink r:id="rId1649" location="gid=84296321" ref="BF226"/>
    <hyperlink r:id="rId1650" location="gid=84296321" ref="BP226"/>
    <hyperlink r:id="rId1651" location="gid=84296321" ref="BZ226"/>
    <hyperlink r:id="rId1652" location="gid=84296321" ref="CJ226"/>
    <hyperlink r:id="rId1653" location="gid=84296321" ref="CT226"/>
    <hyperlink r:id="rId1654" location="gid=84296321" ref="DD226"/>
    <hyperlink r:id="rId1655" location="gid=84296321" ref="DN226"/>
    <hyperlink r:id="rId1656" location="gid=84296321" ref="DX226"/>
    <hyperlink r:id="rId1657" location="gid=84296321" ref="R227"/>
    <hyperlink r:id="rId1658" location="gid=84296321" ref="AB227"/>
    <hyperlink r:id="rId1659" location="gid=84296321" ref="AL227"/>
    <hyperlink r:id="rId1660" location="gid=84296321" ref="AV227"/>
    <hyperlink r:id="rId1661" location="gid=84296321" ref="BF227"/>
    <hyperlink r:id="rId1662" location="gid=84296321" ref="BP227"/>
    <hyperlink r:id="rId1663" location="gid=84296321" ref="BZ227"/>
    <hyperlink r:id="rId1664" location="gid=84296321" ref="CJ227"/>
    <hyperlink r:id="rId1665" location="gid=84296321" ref="CT227"/>
    <hyperlink r:id="rId1666" location="gid=84296321" ref="DD227"/>
    <hyperlink r:id="rId1667" location="gid=84296321" ref="DN227"/>
    <hyperlink r:id="rId1668" location="gid=84296321" ref="DX227"/>
    <hyperlink r:id="rId1669" location="gid=84296321" ref="R228"/>
    <hyperlink r:id="rId1670" location="gid=84296321" ref="AB228"/>
    <hyperlink r:id="rId1671" location="gid=84296321" ref="AL228"/>
    <hyperlink r:id="rId1672" location="gid=84296321" ref="AV228"/>
    <hyperlink r:id="rId1673" location="gid=84296321" ref="BF228"/>
    <hyperlink r:id="rId1674" location="gid=84296321" ref="BP228"/>
    <hyperlink r:id="rId1675" location="gid=84296321" ref="BZ228"/>
    <hyperlink r:id="rId1676" location="gid=84296321" ref="CJ228"/>
    <hyperlink r:id="rId1677" location="gid=84296321" ref="CT228"/>
    <hyperlink r:id="rId1678" location="gid=84296321" ref="DD228"/>
    <hyperlink r:id="rId1679" location="gid=84296321" ref="DN228"/>
    <hyperlink r:id="rId1680" location="gid=84296321" ref="DX228"/>
    <hyperlink r:id="rId1681" location="gid=84296321" ref="R229"/>
    <hyperlink r:id="rId1682" location="gid=84296321" ref="AB229"/>
    <hyperlink r:id="rId1683" location="gid=84296321" ref="AL229"/>
    <hyperlink r:id="rId1684" location="gid=84296321" ref="AV229"/>
    <hyperlink r:id="rId1685" location="gid=84296321" ref="BF229"/>
    <hyperlink r:id="rId1686" location="gid=84296321" ref="BP229"/>
    <hyperlink r:id="rId1687" location="gid=84296321" ref="BZ229"/>
    <hyperlink r:id="rId1688" location="gid=84296321" ref="CJ229"/>
    <hyperlink r:id="rId1689" location="gid=84296321" ref="CT229"/>
    <hyperlink r:id="rId1690" location="gid=84296321" ref="DD229"/>
    <hyperlink r:id="rId1691" location="gid=84296321" ref="DN229"/>
    <hyperlink r:id="rId1692" location="gid=84296321" ref="DX229"/>
    <hyperlink r:id="rId1693" location="gid=84296321" ref="R230"/>
    <hyperlink r:id="rId1694" location="gid=84296321" ref="AB230"/>
    <hyperlink r:id="rId1695" location="gid=84296321" ref="AL230"/>
    <hyperlink r:id="rId1696" location="gid=84296321" ref="AV230"/>
    <hyperlink r:id="rId1697" location="gid=84296321" ref="BF230"/>
    <hyperlink r:id="rId1698" location="gid=84296321" ref="BP230"/>
    <hyperlink r:id="rId1699" location="gid=84296321" ref="BZ230"/>
    <hyperlink r:id="rId1700" location="gid=84296321" ref="CJ230"/>
    <hyperlink r:id="rId1701" location="gid=84296321" ref="CT230"/>
    <hyperlink r:id="rId1702" location="gid=84296321" ref="DD230"/>
    <hyperlink r:id="rId1703" location="gid=84296321" ref="DN230"/>
    <hyperlink r:id="rId1704" location="gid=84296321" ref="DX230"/>
    <hyperlink r:id="rId1705" location="gid=84296321" ref="R231"/>
    <hyperlink r:id="rId1706" location="gid=84296321" ref="AB231"/>
    <hyperlink r:id="rId1707" location="gid=84296321" ref="AL231"/>
    <hyperlink r:id="rId1708" location="gid=84296321" ref="AV231"/>
    <hyperlink r:id="rId1709" location="gid=84296321" ref="BF231"/>
    <hyperlink r:id="rId1710" location="gid=84296321" ref="BP231"/>
    <hyperlink r:id="rId1711" location="gid=84296321" ref="BZ231"/>
    <hyperlink r:id="rId1712" location="gid=84296321" ref="CJ231"/>
    <hyperlink r:id="rId1713" location="gid=84296321" ref="CT231"/>
    <hyperlink r:id="rId1714" location="gid=84296321" ref="DD231"/>
    <hyperlink r:id="rId1715" location="gid=84296321" ref="DN231"/>
    <hyperlink r:id="rId1716" location="gid=84296321" ref="DX231"/>
    <hyperlink r:id="rId1717" location="gid=84296321" ref="R232"/>
    <hyperlink r:id="rId1718" location="gid=84296321" ref="AB232"/>
    <hyperlink r:id="rId1719" location="gid=84296321" ref="AL232"/>
    <hyperlink r:id="rId1720" location="gid=84296321" ref="AV232"/>
    <hyperlink r:id="rId1721" location="gid=84296321" ref="BF232"/>
    <hyperlink r:id="rId1722" location="gid=84296321" ref="BP232"/>
    <hyperlink r:id="rId1723" location="gid=84296321" ref="BZ232"/>
    <hyperlink r:id="rId1724" location="gid=84296321" ref="CJ232"/>
    <hyperlink r:id="rId1725" location="gid=84296321" ref="CT232"/>
    <hyperlink r:id="rId1726" location="gid=84296321" ref="DD232"/>
    <hyperlink r:id="rId1727" location="gid=84296321" ref="DN232"/>
    <hyperlink r:id="rId1728" location="gid=84296321" ref="DX232"/>
    <hyperlink r:id="rId1729" location="gid=84296321" ref="R233"/>
    <hyperlink r:id="rId1730" location="gid=84296321" ref="AB233"/>
    <hyperlink r:id="rId1731" location="gid=84296321" ref="AL233"/>
    <hyperlink r:id="rId1732" location="gid=84296321" ref="AV233"/>
    <hyperlink r:id="rId1733" location="gid=84296321" ref="BF233"/>
    <hyperlink r:id="rId1734" location="gid=84296321" ref="BP233"/>
    <hyperlink r:id="rId1735" location="gid=84296321" ref="BZ233"/>
    <hyperlink r:id="rId1736" location="gid=84296321" ref="CJ233"/>
    <hyperlink r:id="rId1737" location="gid=84296321" ref="CT233"/>
    <hyperlink r:id="rId1738" location="gid=84296321" ref="DD233"/>
    <hyperlink r:id="rId1739" location="gid=84296321" ref="DN233"/>
    <hyperlink r:id="rId1740" location="gid=84296321" ref="DX233"/>
    <hyperlink r:id="rId1741" location="gid=84296321" ref="R234"/>
    <hyperlink r:id="rId1742" location="gid=84296321" ref="AB234"/>
    <hyperlink r:id="rId1743" location="gid=84296321" ref="AL234"/>
    <hyperlink r:id="rId1744" location="gid=84296321" ref="AV234"/>
    <hyperlink r:id="rId1745" location="gid=84296321" ref="BF234"/>
    <hyperlink r:id="rId1746" location="gid=84296321" ref="BP234"/>
    <hyperlink r:id="rId1747" location="gid=84296321" ref="BZ234"/>
    <hyperlink r:id="rId1748" location="gid=84296321" ref="CJ234"/>
    <hyperlink r:id="rId1749" location="gid=84296321" ref="CT234"/>
    <hyperlink r:id="rId1750" location="gid=84296321" ref="DD234"/>
    <hyperlink r:id="rId1751" location="gid=84296321" ref="DN234"/>
    <hyperlink r:id="rId1752" location="gid=84296321" ref="DX234"/>
    <hyperlink r:id="rId1753" location="gid=84296321" ref="R235"/>
    <hyperlink r:id="rId1754" location="gid=84296321" ref="AB235"/>
    <hyperlink r:id="rId1755" location="gid=84296321" ref="AL235"/>
    <hyperlink r:id="rId1756" location="gid=84296321" ref="AV235"/>
    <hyperlink r:id="rId1757" location="gid=84296321" ref="BF235"/>
    <hyperlink r:id="rId1758" location="gid=84296321" ref="BP235"/>
    <hyperlink r:id="rId1759" location="gid=84296321" ref="BZ235"/>
    <hyperlink r:id="rId1760" location="gid=84296321" ref="CJ235"/>
    <hyperlink r:id="rId1761" location="gid=84296321" ref="CT235"/>
    <hyperlink r:id="rId1762" location="gid=84296321" ref="DD235"/>
    <hyperlink r:id="rId1763" location="gid=84296321" ref="DN235"/>
    <hyperlink r:id="rId1764" location="gid=84296321" ref="DX235"/>
    <hyperlink r:id="rId1765" location="gid=84296321" ref="R236"/>
    <hyperlink r:id="rId1766" location="gid=84296321" ref="AB236"/>
    <hyperlink r:id="rId1767" location="gid=84296321" ref="AL236"/>
    <hyperlink r:id="rId1768" location="gid=84296321" ref="AV236"/>
    <hyperlink r:id="rId1769" location="gid=84296321" ref="BF236"/>
    <hyperlink r:id="rId1770" location="gid=84296321" ref="BP236"/>
    <hyperlink r:id="rId1771" location="gid=84296321" ref="BZ236"/>
    <hyperlink r:id="rId1772" location="gid=84296321" ref="CJ236"/>
    <hyperlink r:id="rId1773" location="gid=84296321" ref="CT236"/>
    <hyperlink r:id="rId1774" location="gid=84296321" ref="DD236"/>
    <hyperlink r:id="rId1775" location="gid=84296321" ref="DN236"/>
    <hyperlink r:id="rId1776" location="gid=84296321" ref="DX236"/>
    <hyperlink r:id="rId1777" location="gid=84296321" ref="R237"/>
    <hyperlink r:id="rId1778" location="gid=84296321" ref="AB237"/>
    <hyperlink r:id="rId1779" location="gid=84296321" ref="AL237"/>
    <hyperlink r:id="rId1780" location="gid=84296321" ref="AV237"/>
    <hyperlink r:id="rId1781" location="gid=84296321" ref="BF237"/>
    <hyperlink r:id="rId1782" location="gid=84296321" ref="BP237"/>
    <hyperlink r:id="rId1783" location="gid=84296321" ref="BZ237"/>
    <hyperlink r:id="rId1784" location="gid=84296321" ref="CJ237"/>
    <hyperlink r:id="rId1785" location="gid=84296321" ref="CT237"/>
    <hyperlink r:id="rId1786" location="gid=84296321" ref="DD237"/>
    <hyperlink r:id="rId1787" location="gid=84296321" ref="DN237"/>
    <hyperlink r:id="rId1788" location="gid=84296321" ref="DX237"/>
    <hyperlink r:id="rId1789" location="gid=84296321" ref="R238"/>
    <hyperlink r:id="rId1790" location="gid=84296321" ref="AB238"/>
    <hyperlink r:id="rId1791" location="gid=84296321" ref="AL238"/>
    <hyperlink r:id="rId1792" location="gid=84296321" ref="AV238"/>
    <hyperlink r:id="rId1793" location="gid=84296321" ref="BF238"/>
    <hyperlink r:id="rId1794" location="gid=84296321" ref="BP238"/>
    <hyperlink r:id="rId1795" location="gid=84296321" ref="BZ238"/>
    <hyperlink r:id="rId1796" location="gid=84296321" ref="CJ238"/>
    <hyperlink r:id="rId1797" location="gid=84296321" ref="CT238"/>
    <hyperlink r:id="rId1798" location="gid=84296321" ref="DD238"/>
    <hyperlink r:id="rId1799" location="gid=84296321" ref="DN238"/>
    <hyperlink r:id="rId1800" location="gid=84296321" ref="DX238"/>
    <hyperlink r:id="rId1801" location="gid=84296321" ref="R239"/>
    <hyperlink r:id="rId1802" location="gid=84296321" ref="AB239"/>
    <hyperlink r:id="rId1803" location="gid=84296321" ref="AL239"/>
    <hyperlink r:id="rId1804" location="gid=84296321" ref="AV239"/>
    <hyperlink r:id="rId1805" location="gid=84296321" ref="BF239"/>
    <hyperlink r:id="rId1806" location="gid=84296321" ref="BP239"/>
    <hyperlink r:id="rId1807" location="gid=84296321" ref="BZ239"/>
    <hyperlink r:id="rId1808" location="gid=84296321" ref="CJ239"/>
    <hyperlink r:id="rId1809" location="gid=84296321" ref="CT239"/>
    <hyperlink r:id="rId1810" location="gid=84296321" ref="DD239"/>
    <hyperlink r:id="rId1811" location="gid=84296321" ref="DN239"/>
    <hyperlink r:id="rId1812" location="gid=84296321" ref="DX239"/>
    <hyperlink r:id="rId1813" location="gid=84296321" ref="R240"/>
    <hyperlink r:id="rId1814" location="gid=84296321" ref="AB240"/>
    <hyperlink r:id="rId1815" location="gid=84296321" ref="AL240"/>
    <hyperlink r:id="rId1816" location="gid=84296321" ref="AV240"/>
    <hyperlink r:id="rId1817" location="gid=84296321" ref="BF240"/>
    <hyperlink r:id="rId1818" location="gid=84296321" ref="BP240"/>
    <hyperlink r:id="rId1819" location="gid=84296321" ref="BZ240"/>
    <hyperlink r:id="rId1820" location="gid=84296321" ref="CJ240"/>
    <hyperlink r:id="rId1821" location="gid=84296321" ref="CT240"/>
    <hyperlink r:id="rId1822" location="gid=84296321" ref="DD240"/>
    <hyperlink r:id="rId1823" location="gid=84296321" ref="DN240"/>
    <hyperlink r:id="rId1824" location="gid=84296321" ref="DX240"/>
    <hyperlink r:id="rId1825" location="gid=84296321" ref="R241"/>
    <hyperlink r:id="rId1826" location="gid=84296321" ref="AB241"/>
    <hyperlink r:id="rId1827" location="gid=84296321" ref="AL241"/>
    <hyperlink r:id="rId1828" location="gid=84296321" ref="AV241"/>
    <hyperlink r:id="rId1829" location="gid=84296321" ref="BF241"/>
    <hyperlink r:id="rId1830" location="gid=84296321" ref="BP241"/>
    <hyperlink r:id="rId1831" location="gid=84296321" ref="BZ241"/>
    <hyperlink r:id="rId1832" location="gid=84296321" ref="CJ241"/>
    <hyperlink r:id="rId1833" location="gid=84296321" ref="CT241"/>
    <hyperlink r:id="rId1834" location="gid=84296321" ref="DD241"/>
    <hyperlink r:id="rId1835" location="gid=84296321" ref="DN241"/>
    <hyperlink r:id="rId1836" location="gid=84296321" ref="DX241"/>
    <hyperlink r:id="rId1837" location="gid=84296321" ref="R242"/>
    <hyperlink r:id="rId1838" location="gid=84296321" ref="AB242"/>
    <hyperlink r:id="rId1839" location="gid=84296321" ref="AL242"/>
    <hyperlink r:id="rId1840" location="gid=84296321" ref="AV242"/>
    <hyperlink r:id="rId1841" location="gid=84296321" ref="BF242"/>
    <hyperlink r:id="rId1842" location="gid=84296321" ref="BP242"/>
    <hyperlink r:id="rId1843" location="gid=84296321" ref="BZ242"/>
    <hyperlink r:id="rId1844" location="gid=84296321" ref="CJ242"/>
    <hyperlink r:id="rId1845" location="gid=84296321" ref="CT242"/>
    <hyperlink r:id="rId1846" location="gid=84296321" ref="DD242"/>
    <hyperlink r:id="rId1847" location="gid=84296321" ref="DN242"/>
    <hyperlink r:id="rId1848" location="gid=84296321" ref="DX242"/>
    <hyperlink r:id="rId1849" location="gid=84296321" ref="R243"/>
    <hyperlink r:id="rId1850" location="gid=84296321" ref="AB243"/>
    <hyperlink r:id="rId1851" location="gid=84296321" ref="AL243"/>
    <hyperlink r:id="rId1852" location="gid=84296321" ref="AV243"/>
    <hyperlink r:id="rId1853" location="gid=84296321" ref="BF243"/>
    <hyperlink r:id="rId1854" location="gid=84296321" ref="BP243"/>
    <hyperlink r:id="rId1855" location="gid=84296321" ref="BZ243"/>
    <hyperlink r:id="rId1856" location="gid=84296321" ref="CJ243"/>
    <hyperlink r:id="rId1857" location="gid=84296321" ref="CT243"/>
    <hyperlink r:id="rId1858" location="gid=84296321" ref="DD243"/>
    <hyperlink r:id="rId1859" location="gid=84296321" ref="DN243"/>
    <hyperlink r:id="rId1860" location="gid=84296321" ref="DX243"/>
    <hyperlink r:id="rId1861" location="gid=84296321" ref="R244"/>
    <hyperlink r:id="rId1862" location="gid=84296321" ref="AB244"/>
    <hyperlink r:id="rId1863" location="gid=84296321" ref="AL244"/>
    <hyperlink r:id="rId1864" location="gid=84296321" ref="AV244"/>
    <hyperlink r:id="rId1865" location="gid=84296321" ref="BF244"/>
    <hyperlink r:id="rId1866" location="gid=84296321" ref="BP244"/>
    <hyperlink r:id="rId1867" location="gid=84296321" ref="BZ244"/>
    <hyperlink r:id="rId1868" location="gid=84296321" ref="CJ244"/>
    <hyperlink r:id="rId1869" location="gid=84296321" ref="CT244"/>
    <hyperlink r:id="rId1870" location="gid=84296321" ref="DD244"/>
    <hyperlink r:id="rId1871" location="gid=84296321" ref="DN244"/>
    <hyperlink r:id="rId1872" location="gid=84296321" ref="DX244"/>
    <hyperlink r:id="rId1873" location="gid=84296321" ref="R245"/>
    <hyperlink r:id="rId1874" location="gid=84296321" ref="AB245"/>
    <hyperlink r:id="rId1875" location="gid=84296321" ref="AL245"/>
    <hyperlink r:id="rId1876" location="gid=84296321" ref="AV245"/>
    <hyperlink r:id="rId1877" location="gid=84296321" ref="BF245"/>
    <hyperlink r:id="rId1878" location="gid=84296321" ref="BP245"/>
    <hyperlink r:id="rId1879" location="gid=84296321" ref="BZ245"/>
    <hyperlink r:id="rId1880" location="gid=84296321" ref="CJ245"/>
    <hyperlink r:id="rId1881" location="gid=84296321" ref="CT245"/>
    <hyperlink r:id="rId1882" location="gid=84296321" ref="DD245"/>
    <hyperlink r:id="rId1883" location="gid=84296321" ref="DN245"/>
    <hyperlink r:id="rId1884" location="gid=84296321" ref="DX245"/>
    <hyperlink r:id="rId1885" location="gid=84296321" ref="R246"/>
    <hyperlink r:id="rId1886" location="gid=84296321" ref="AB246"/>
    <hyperlink r:id="rId1887" location="gid=84296321" ref="AL246"/>
    <hyperlink r:id="rId1888" location="gid=84296321" ref="AV246"/>
    <hyperlink r:id="rId1889" location="gid=84296321" ref="BF246"/>
    <hyperlink r:id="rId1890" location="gid=84296321" ref="BP246"/>
    <hyperlink r:id="rId1891" location="gid=84296321" ref="BZ246"/>
    <hyperlink r:id="rId1892" location="gid=84296321" ref="CJ246"/>
    <hyperlink r:id="rId1893" location="gid=84296321" ref="CT246"/>
    <hyperlink r:id="rId1894" location="gid=84296321" ref="DD246"/>
    <hyperlink r:id="rId1895" location="gid=84296321" ref="DN246"/>
    <hyperlink r:id="rId1896" location="gid=84296321" ref="DX246"/>
    <hyperlink r:id="rId1897" location="gid=84296321" ref="R247"/>
    <hyperlink r:id="rId1898" location="gid=84296321" ref="AB247"/>
    <hyperlink r:id="rId1899" location="gid=84296321" ref="AL247"/>
    <hyperlink r:id="rId1900" location="gid=84296321" ref="AV247"/>
    <hyperlink r:id="rId1901" location="gid=84296321" ref="BF247"/>
    <hyperlink r:id="rId1902" location="gid=84296321" ref="BP247"/>
    <hyperlink r:id="rId1903" location="gid=84296321" ref="BZ247"/>
    <hyperlink r:id="rId1904" location="gid=84296321" ref="CJ247"/>
    <hyperlink r:id="rId1905" location="gid=84296321" ref="CT247"/>
    <hyperlink r:id="rId1906" location="gid=84296321" ref="DD247"/>
    <hyperlink r:id="rId1907" location="gid=84296321" ref="DN247"/>
    <hyperlink r:id="rId1908" location="gid=84296321" ref="DX247"/>
    <hyperlink r:id="rId1909" location="gid=84296321" ref="R248"/>
    <hyperlink r:id="rId1910" location="gid=84296321" ref="AB248"/>
    <hyperlink r:id="rId1911" location="gid=84296321" ref="AL248"/>
    <hyperlink r:id="rId1912" location="gid=84296321" ref="AV248"/>
    <hyperlink r:id="rId1913" location="gid=84296321" ref="BF248"/>
    <hyperlink r:id="rId1914" location="gid=84296321" ref="BP248"/>
    <hyperlink r:id="rId1915" location="gid=84296321" ref="BZ248"/>
    <hyperlink r:id="rId1916" location="gid=84296321" ref="CJ248"/>
    <hyperlink r:id="rId1917" location="gid=84296321" ref="CT248"/>
    <hyperlink r:id="rId1918" location="gid=84296321" ref="DD248"/>
    <hyperlink r:id="rId1919" location="gid=84296321" ref="DN248"/>
    <hyperlink r:id="rId1920" location="gid=84296321" ref="DX248"/>
    <hyperlink r:id="rId1921" location="gid=84296321" ref="R249"/>
    <hyperlink r:id="rId1922" location="gid=84296321" ref="AB249"/>
    <hyperlink r:id="rId1923" location="gid=84296321" ref="AL249"/>
    <hyperlink r:id="rId1924" location="gid=84296321" ref="AV249"/>
    <hyperlink r:id="rId1925" location="gid=84296321" ref="BF249"/>
    <hyperlink r:id="rId1926" location="gid=84296321" ref="BP249"/>
    <hyperlink r:id="rId1927" location="gid=84296321" ref="BZ249"/>
    <hyperlink r:id="rId1928" location="gid=84296321" ref="CJ249"/>
    <hyperlink r:id="rId1929" location="gid=84296321" ref="CT249"/>
    <hyperlink r:id="rId1930" location="gid=84296321" ref="DD249"/>
    <hyperlink r:id="rId1931" location="gid=84296321" ref="DN249"/>
    <hyperlink r:id="rId1932" location="gid=84296321" ref="DX249"/>
    <hyperlink r:id="rId1933" location="gid=84296321" ref="R250"/>
    <hyperlink r:id="rId1934" location="gid=84296321" ref="AB250"/>
    <hyperlink r:id="rId1935" location="gid=84296321" ref="AL250"/>
    <hyperlink r:id="rId1936" location="gid=84296321" ref="AV250"/>
    <hyperlink r:id="rId1937" location="gid=84296321" ref="BF250"/>
    <hyperlink r:id="rId1938" location="gid=84296321" ref="BP250"/>
    <hyperlink r:id="rId1939" location="gid=84296321" ref="BZ250"/>
    <hyperlink r:id="rId1940" location="gid=84296321" ref="CJ250"/>
    <hyperlink r:id="rId1941" location="gid=84296321" ref="CT250"/>
    <hyperlink r:id="rId1942" location="gid=84296321" ref="DD250"/>
    <hyperlink r:id="rId1943" location="gid=84296321" ref="DN250"/>
    <hyperlink r:id="rId1944" location="gid=84296321" ref="DX250"/>
    <hyperlink r:id="rId1945" location="gid=84296321" ref="R251"/>
    <hyperlink r:id="rId1946" location="gid=84296321" ref="AB251"/>
    <hyperlink r:id="rId1947" location="gid=84296321" ref="AL251"/>
    <hyperlink r:id="rId1948" location="gid=84296321" ref="AV251"/>
    <hyperlink r:id="rId1949" location="gid=84296321" ref="BF251"/>
    <hyperlink r:id="rId1950" location="gid=84296321" ref="BP251"/>
    <hyperlink r:id="rId1951" location="gid=84296321" ref="BZ251"/>
    <hyperlink r:id="rId1952" location="gid=84296321" ref="CJ251"/>
    <hyperlink r:id="rId1953" location="gid=84296321" ref="CT251"/>
    <hyperlink r:id="rId1954" location="gid=84296321" ref="DD251"/>
    <hyperlink r:id="rId1955" location="gid=84296321" ref="DN251"/>
    <hyperlink r:id="rId1956" location="gid=84296321" ref="DX251"/>
    <hyperlink r:id="rId1957" location="gid=84296321" ref="R252"/>
    <hyperlink r:id="rId1958" location="gid=84296321" ref="AB252"/>
    <hyperlink r:id="rId1959" location="gid=84296321" ref="AL252"/>
    <hyperlink r:id="rId1960" location="gid=84296321" ref="AV252"/>
    <hyperlink r:id="rId1961" location="gid=84296321" ref="BF252"/>
    <hyperlink r:id="rId1962" location="gid=84296321" ref="BP252"/>
    <hyperlink r:id="rId1963" location="gid=84296321" ref="BZ252"/>
    <hyperlink r:id="rId1964" location="gid=84296321" ref="CJ252"/>
    <hyperlink r:id="rId1965" location="gid=84296321" ref="CT252"/>
    <hyperlink r:id="rId1966" location="gid=84296321" ref="DD252"/>
    <hyperlink r:id="rId1967" location="gid=84296321" ref="DN252"/>
    <hyperlink r:id="rId1968" location="gid=84296321" ref="DX252"/>
    <hyperlink r:id="rId1969" location="gid=84296321" ref="R253"/>
    <hyperlink r:id="rId1970" location="gid=84296321" ref="AB253"/>
    <hyperlink r:id="rId1971" location="gid=84296321" ref="AL253"/>
    <hyperlink r:id="rId1972" location="gid=84296321" ref="AV253"/>
    <hyperlink r:id="rId1973" location="gid=84296321" ref="BF253"/>
    <hyperlink r:id="rId1974" location="gid=84296321" ref="BP253"/>
    <hyperlink r:id="rId1975" location="gid=84296321" ref="BZ253"/>
    <hyperlink r:id="rId1976" location="gid=84296321" ref="CJ253"/>
    <hyperlink r:id="rId1977" location="gid=84296321" ref="CT253"/>
    <hyperlink r:id="rId1978" location="gid=84296321" ref="DD253"/>
    <hyperlink r:id="rId1979" location="gid=84296321" ref="DN253"/>
    <hyperlink r:id="rId1980" location="gid=84296321" ref="DX253"/>
    <hyperlink r:id="rId1981" location="gid=84296321" ref="R254"/>
    <hyperlink r:id="rId1982" location="gid=84296321" ref="AB254"/>
    <hyperlink r:id="rId1983" location="gid=84296321" ref="AL254"/>
    <hyperlink r:id="rId1984" location="gid=84296321" ref="AV254"/>
    <hyperlink r:id="rId1985" location="gid=84296321" ref="BF254"/>
    <hyperlink r:id="rId1986" location="gid=84296321" ref="BP254"/>
    <hyperlink r:id="rId1987" location="gid=84296321" ref="BZ254"/>
    <hyperlink r:id="rId1988" location="gid=84296321" ref="CJ254"/>
    <hyperlink r:id="rId1989" location="gid=84296321" ref="CT254"/>
    <hyperlink r:id="rId1990" location="gid=84296321" ref="DD254"/>
    <hyperlink r:id="rId1991" location="gid=84296321" ref="DN254"/>
    <hyperlink r:id="rId1992" location="gid=84296321" ref="DX254"/>
    <hyperlink r:id="rId1993" location="gid=84296321" ref="R255"/>
    <hyperlink r:id="rId1994" location="gid=84296321" ref="AB255"/>
    <hyperlink r:id="rId1995" location="gid=84296321" ref="AL255"/>
    <hyperlink r:id="rId1996" location="gid=84296321" ref="AV255"/>
    <hyperlink r:id="rId1997" location="gid=84296321" ref="BF255"/>
    <hyperlink r:id="rId1998" location="gid=84296321" ref="BP255"/>
    <hyperlink r:id="rId1999" location="gid=84296321" ref="BZ255"/>
    <hyperlink r:id="rId2000" location="gid=84296321" ref="CJ255"/>
    <hyperlink r:id="rId2001" location="gid=84296321" ref="CT255"/>
    <hyperlink r:id="rId2002" location="gid=84296321" ref="DD255"/>
    <hyperlink r:id="rId2003" location="gid=84296321" ref="DN255"/>
    <hyperlink r:id="rId2004" location="gid=84296321" ref="DX255"/>
    <hyperlink r:id="rId2005" location="gid=84296321" ref="R256"/>
    <hyperlink r:id="rId2006" location="gid=84296321" ref="AB256"/>
    <hyperlink r:id="rId2007" location="gid=84296321" ref="AL256"/>
    <hyperlink r:id="rId2008" location="gid=84296321" ref="AV256"/>
    <hyperlink r:id="rId2009" location="gid=84296321" ref="BF256"/>
    <hyperlink r:id="rId2010" location="gid=84296321" ref="BP256"/>
    <hyperlink r:id="rId2011" location="gid=84296321" ref="BZ256"/>
    <hyperlink r:id="rId2012" location="gid=84296321" ref="CJ256"/>
    <hyperlink r:id="rId2013" location="gid=84296321" ref="CT256"/>
    <hyperlink r:id="rId2014" location="gid=84296321" ref="DD256"/>
    <hyperlink r:id="rId2015" location="gid=84296321" ref="DN256"/>
    <hyperlink r:id="rId2016" location="gid=84296321" ref="DX256"/>
    <hyperlink r:id="rId2017" location="gid=84296321" ref="R257"/>
    <hyperlink r:id="rId2018" location="gid=84296321" ref="AB257"/>
    <hyperlink r:id="rId2019" location="gid=84296321" ref="AL257"/>
    <hyperlink r:id="rId2020" location="gid=84296321" ref="AV257"/>
    <hyperlink r:id="rId2021" location="gid=84296321" ref="BF257"/>
    <hyperlink r:id="rId2022" location="gid=84296321" ref="BP257"/>
    <hyperlink r:id="rId2023" location="gid=84296321" ref="BZ257"/>
    <hyperlink r:id="rId2024" location="gid=84296321" ref="CJ257"/>
    <hyperlink r:id="rId2025" location="gid=84296321" ref="CT257"/>
    <hyperlink r:id="rId2026" location="gid=84296321" ref="DD257"/>
    <hyperlink r:id="rId2027" location="gid=84296321" ref="DN257"/>
    <hyperlink r:id="rId2028" location="gid=84296321" ref="DX257"/>
    <hyperlink r:id="rId2029" location="gid=84296321" ref="R258"/>
    <hyperlink r:id="rId2030" location="gid=84296321" ref="AB258"/>
    <hyperlink r:id="rId2031" location="gid=84296321" ref="AL258"/>
    <hyperlink r:id="rId2032" location="gid=84296321" ref="AV258"/>
    <hyperlink r:id="rId2033" location="gid=84296321" ref="BF258"/>
    <hyperlink r:id="rId2034" location="gid=84296321" ref="BP258"/>
    <hyperlink r:id="rId2035" location="gid=84296321" ref="BZ258"/>
    <hyperlink r:id="rId2036" location="gid=84296321" ref="CJ258"/>
    <hyperlink r:id="rId2037" location="gid=84296321" ref="CT258"/>
    <hyperlink r:id="rId2038" location="gid=84296321" ref="DD258"/>
    <hyperlink r:id="rId2039" location="gid=84296321" ref="DN258"/>
    <hyperlink r:id="rId2040" location="gid=84296321" ref="DX258"/>
    <hyperlink r:id="rId2041" location="gid=84296321" ref="R259"/>
    <hyperlink r:id="rId2042" location="gid=84296321" ref="AB259"/>
    <hyperlink r:id="rId2043" location="gid=84296321" ref="AL259"/>
    <hyperlink r:id="rId2044" location="gid=84296321" ref="AV259"/>
    <hyperlink r:id="rId2045" location="gid=84296321" ref="BF259"/>
    <hyperlink r:id="rId2046" location="gid=84296321" ref="BP259"/>
    <hyperlink r:id="rId2047" location="gid=84296321" ref="BZ259"/>
    <hyperlink r:id="rId2048" location="gid=84296321" ref="CJ259"/>
    <hyperlink r:id="rId2049" location="gid=84296321" ref="CT259"/>
    <hyperlink r:id="rId2050" location="gid=84296321" ref="DD259"/>
    <hyperlink r:id="rId2051" location="gid=84296321" ref="DN259"/>
    <hyperlink r:id="rId2052" location="gid=84296321" ref="DX259"/>
    <hyperlink r:id="rId2053" location="gid=84296321" ref="R260"/>
    <hyperlink r:id="rId2054" location="gid=84296321" ref="AB260"/>
    <hyperlink r:id="rId2055" location="gid=84296321" ref="AL260"/>
    <hyperlink r:id="rId2056" location="gid=84296321" ref="AV260"/>
    <hyperlink r:id="rId2057" location="gid=84296321" ref="BF260"/>
    <hyperlink r:id="rId2058" location="gid=84296321" ref="BP260"/>
    <hyperlink r:id="rId2059" location="gid=84296321" ref="BZ260"/>
    <hyperlink r:id="rId2060" location="gid=84296321" ref="CJ260"/>
    <hyperlink r:id="rId2061" location="gid=84296321" ref="CT260"/>
    <hyperlink r:id="rId2062" location="gid=84296321" ref="DD260"/>
    <hyperlink r:id="rId2063" location="gid=84296321" ref="DN260"/>
    <hyperlink r:id="rId2064" location="gid=84296321" ref="DX260"/>
    <hyperlink r:id="rId2065" location="gid=84296321" ref="R261"/>
    <hyperlink r:id="rId2066" location="gid=84296321" ref="AB261"/>
    <hyperlink r:id="rId2067" location="gid=84296321" ref="AL261"/>
    <hyperlink r:id="rId2068" location="gid=84296321" ref="AV261"/>
    <hyperlink r:id="rId2069" location="gid=84296321" ref="BF261"/>
    <hyperlink r:id="rId2070" location="gid=84296321" ref="BP261"/>
    <hyperlink r:id="rId2071" location="gid=84296321" ref="BZ261"/>
    <hyperlink r:id="rId2072" location="gid=84296321" ref="CJ261"/>
    <hyperlink r:id="rId2073" location="gid=84296321" ref="CT261"/>
    <hyperlink r:id="rId2074" location="gid=84296321" ref="DD261"/>
    <hyperlink r:id="rId2075" location="gid=84296321" ref="DN261"/>
    <hyperlink r:id="rId2076" location="gid=84296321" ref="DX261"/>
    <hyperlink r:id="rId2077" location="gid=84296321" ref="R262"/>
    <hyperlink r:id="rId2078" location="gid=84296321" ref="AB262"/>
    <hyperlink r:id="rId2079" location="gid=84296321" ref="AL262"/>
    <hyperlink r:id="rId2080" location="gid=84296321" ref="AV262"/>
    <hyperlink r:id="rId2081" location="gid=84296321" ref="BF262"/>
    <hyperlink r:id="rId2082" location="gid=84296321" ref="BP262"/>
    <hyperlink r:id="rId2083" location="gid=84296321" ref="BZ262"/>
    <hyperlink r:id="rId2084" location="gid=84296321" ref="CJ262"/>
    <hyperlink r:id="rId2085" location="gid=84296321" ref="CT262"/>
    <hyperlink r:id="rId2086" location="gid=84296321" ref="DD262"/>
    <hyperlink r:id="rId2087" location="gid=84296321" ref="DN262"/>
    <hyperlink r:id="rId2088" location="gid=84296321" ref="DX262"/>
    <hyperlink r:id="rId2089" location="gid=84296321" ref="R263"/>
    <hyperlink r:id="rId2090" location="gid=84296321" ref="AB263"/>
    <hyperlink r:id="rId2091" location="gid=84296321" ref="AL263"/>
    <hyperlink r:id="rId2092" location="gid=84296321" ref="AV263"/>
    <hyperlink r:id="rId2093" location="gid=84296321" ref="BF263"/>
    <hyperlink r:id="rId2094" location="gid=84296321" ref="BP263"/>
    <hyperlink r:id="rId2095" location="gid=84296321" ref="BZ263"/>
    <hyperlink r:id="rId2096" location="gid=84296321" ref="CJ263"/>
    <hyperlink r:id="rId2097" location="gid=84296321" ref="CT263"/>
    <hyperlink r:id="rId2098" location="gid=84296321" ref="DD263"/>
    <hyperlink r:id="rId2099" location="gid=84296321" ref="DN263"/>
    <hyperlink r:id="rId2100" location="gid=84296321" ref="DX263"/>
    <hyperlink r:id="rId2101" location="gid=84296321" ref="R264"/>
    <hyperlink r:id="rId2102" location="gid=84296321" ref="AB264"/>
    <hyperlink r:id="rId2103" location="gid=84296321" ref="AL264"/>
    <hyperlink r:id="rId2104" location="gid=84296321" ref="AV264"/>
    <hyperlink r:id="rId2105" location="gid=84296321" ref="BF264"/>
    <hyperlink r:id="rId2106" location="gid=84296321" ref="BP264"/>
    <hyperlink r:id="rId2107" location="gid=84296321" ref="BZ264"/>
    <hyperlink r:id="rId2108" location="gid=84296321" ref="CJ264"/>
    <hyperlink r:id="rId2109" location="gid=84296321" ref="CT264"/>
    <hyperlink r:id="rId2110" location="gid=84296321" ref="DD264"/>
    <hyperlink r:id="rId2111" location="gid=84296321" ref="DN264"/>
    <hyperlink r:id="rId2112" location="gid=84296321" ref="DX264"/>
    <hyperlink r:id="rId2113" location="gid=84296321" ref="R265"/>
    <hyperlink r:id="rId2114" location="gid=84296321" ref="AB265"/>
    <hyperlink r:id="rId2115" location="gid=84296321" ref="AL265"/>
    <hyperlink r:id="rId2116" location="gid=84296321" ref="AV265"/>
    <hyperlink r:id="rId2117" location="gid=84296321" ref="BF265"/>
    <hyperlink r:id="rId2118" location="gid=84296321" ref="BP265"/>
    <hyperlink r:id="rId2119" location="gid=84296321" ref="BZ265"/>
    <hyperlink r:id="rId2120" location="gid=84296321" ref="CJ265"/>
    <hyperlink r:id="rId2121" location="gid=84296321" ref="CT265"/>
    <hyperlink r:id="rId2122" location="gid=84296321" ref="DD265"/>
    <hyperlink r:id="rId2123" location="gid=84296321" ref="DN265"/>
    <hyperlink r:id="rId2124" location="gid=84296321" ref="DX265"/>
    <hyperlink r:id="rId2125" location="gid=84296321" ref="R266"/>
    <hyperlink r:id="rId2126" location="gid=84296321" ref="AB266"/>
    <hyperlink r:id="rId2127" location="gid=84296321" ref="AL266"/>
    <hyperlink r:id="rId2128" location="gid=84296321" ref="AV266"/>
    <hyperlink r:id="rId2129" location="gid=84296321" ref="BF266"/>
    <hyperlink r:id="rId2130" location="gid=84296321" ref="BP266"/>
    <hyperlink r:id="rId2131" location="gid=84296321" ref="BZ266"/>
    <hyperlink r:id="rId2132" location="gid=84296321" ref="CJ266"/>
    <hyperlink r:id="rId2133" location="gid=84296321" ref="CT266"/>
    <hyperlink r:id="rId2134" location="gid=84296321" ref="DD266"/>
    <hyperlink r:id="rId2135" location="gid=84296321" ref="DN266"/>
    <hyperlink r:id="rId2136" location="gid=84296321" ref="DX266"/>
    <hyperlink r:id="rId2137" location="gid=84296321" ref="R267"/>
    <hyperlink r:id="rId2138" location="gid=84296321" ref="AB267"/>
    <hyperlink r:id="rId2139" location="gid=84296321" ref="AL267"/>
    <hyperlink r:id="rId2140" location="gid=84296321" ref="AV267"/>
    <hyperlink r:id="rId2141" location="gid=84296321" ref="BF267"/>
    <hyperlink r:id="rId2142" location="gid=84296321" ref="BP267"/>
    <hyperlink r:id="rId2143" location="gid=84296321" ref="BZ267"/>
    <hyperlink r:id="rId2144" location="gid=84296321" ref="CJ267"/>
    <hyperlink r:id="rId2145" location="gid=84296321" ref="CT267"/>
    <hyperlink r:id="rId2146" location="gid=84296321" ref="DD267"/>
    <hyperlink r:id="rId2147" location="gid=84296321" ref="DN267"/>
    <hyperlink r:id="rId2148" location="gid=84296321" ref="DX267"/>
    <hyperlink r:id="rId2149" location="gid=84296321" ref="R268"/>
    <hyperlink r:id="rId2150" location="gid=84296321" ref="AB268"/>
    <hyperlink r:id="rId2151" location="gid=84296321" ref="AL268"/>
    <hyperlink r:id="rId2152" location="gid=84296321" ref="AV268"/>
    <hyperlink r:id="rId2153" location="gid=84296321" ref="BF268"/>
    <hyperlink r:id="rId2154" location="gid=84296321" ref="BP268"/>
    <hyperlink r:id="rId2155" location="gid=84296321" ref="BZ268"/>
    <hyperlink r:id="rId2156" location="gid=84296321" ref="CJ268"/>
    <hyperlink r:id="rId2157" location="gid=84296321" ref="CT268"/>
    <hyperlink r:id="rId2158" location="gid=84296321" ref="DD268"/>
    <hyperlink r:id="rId2159" location="gid=84296321" ref="DN268"/>
    <hyperlink r:id="rId2160" location="gid=84296321" ref="DX268"/>
    <hyperlink r:id="rId2161" location="gid=84296321" ref="R269"/>
    <hyperlink r:id="rId2162" location="gid=84296321" ref="AB269"/>
    <hyperlink r:id="rId2163" location="gid=84296321" ref="AL269"/>
    <hyperlink r:id="rId2164" location="gid=84296321" ref="AV269"/>
    <hyperlink r:id="rId2165" location="gid=84296321" ref="BF269"/>
    <hyperlink r:id="rId2166" location="gid=84296321" ref="BP269"/>
    <hyperlink r:id="rId2167" location="gid=84296321" ref="BZ269"/>
    <hyperlink r:id="rId2168" location="gid=84296321" ref="CJ269"/>
    <hyperlink r:id="rId2169" location="gid=84296321" ref="CT269"/>
    <hyperlink r:id="rId2170" location="gid=84296321" ref="DD269"/>
    <hyperlink r:id="rId2171" location="gid=84296321" ref="DN269"/>
    <hyperlink r:id="rId2172" location="gid=84296321" ref="DX269"/>
    <hyperlink r:id="rId2173" location="gid=84296321" ref="R270"/>
    <hyperlink r:id="rId2174" location="gid=84296321" ref="AB270"/>
    <hyperlink r:id="rId2175" location="gid=84296321" ref="AL270"/>
    <hyperlink r:id="rId2176" location="gid=84296321" ref="AV270"/>
    <hyperlink r:id="rId2177" location="gid=84296321" ref="BF270"/>
    <hyperlink r:id="rId2178" location="gid=84296321" ref="BP270"/>
    <hyperlink r:id="rId2179" location="gid=84296321" ref="BZ270"/>
    <hyperlink r:id="rId2180" location="gid=84296321" ref="CJ270"/>
    <hyperlink r:id="rId2181" location="gid=84296321" ref="CT270"/>
    <hyperlink r:id="rId2182" location="gid=84296321" ref="DD270"/>
    <hyperlink r:id="rId2183" location="gid=84296321" ref="DN270"/>
    <hyperlink r:id="rId2184" location="gid=84296321" ref="DX270"/>
    <hyperlink r:id="rId2185" location="gid=84296321" ref="R271"/>
    <hyperlink r:id="rId2186" location="gid=84296321" ref="AB271"/>
    <hyperlink r:id="rId2187" location="gid=84296321" ref="AL271"/>
    <hyperlink r:id="rId2188" location="gid=84296321" ref="AV271"/>
    <hyperlink r:id="rId2189" location="gid=84296321" ref="BF271"/>
    <hyperlink r:id="rId2190" location="gid=84296321" ref="BP271"/>
    <hyperlink r:id="rId2191" location="gid=84296321" ref="BZ271"/>
    <hyperlink r:id="rId2192" location="gid=84296321" ref="CJ271"/>
    <hyperlink r:id="rId2193" location="gid=84296321" ref="CT271"/>
    <hyperlink r:id="rId2194" location="gid=84296321" ref="DD271"/>
    <hyperlink r:id="rId2195" location="gid=84296321" ref="DN271"/>
    <hyperlink r:id="rId2196" location="gid=84296321" ref="DX271"/>
    <hyperlink r:id="rId2197" location="gid=84296321" ref="R272"/>
    <hyperlink r:id="rId2198" location="gid=84296321" ref="AB272"/>
    <hyperlink r:id="rId2199" location="gid=84296321" ref="AL272"/>
    <hyperlink r:id="rId2200" location="gid=84296321" ref="AV272"/>
    <hyperlink r:id="rId2201" location="gid=84296321" ref="BF272"/>
    <hyperlink r:id="rId2202" location="gid=84296321" ref="BP272"/>
    <hyperlink r:id="rId2203" location="gid=84296321" ref="BZ272"/>
    <hyperlink r:id="rId2204" location="gid=84296321" ref="CJ272"/>
    <hyperlink r:id="rId2205" location="gid=84296321" ref="CT272"/>
    <hyperlink r:id="rId2206" location="gid=84296321" ref="DD272"/>
    <hyperlink r:id="rId2207" location="gid=84296321" ref="DN272"/>
    <hyperlink r:id="rId2208" location="gid=84296321" ref="DX272"/>
    <hyperlink r:id="rId2209" location="gid=84296321" ref="R273"/>
    <hyperlink r:id="rId2210" location="gid=84296321" ref="AB273"/>
    <hyperlink r:id="rId2211" location="gid=84296321" ref="AL273"/>
    <hyperlink r:id="rId2212" location="gid=84296321" ref="AV273"/>
    <hyperlink r:id="rId2213" location="gid=84296321" ref="BF273"/>
    <hyperlink r:id="rId2214" location="gid=84296321" ref="BP273"/>
    <hyperlink r:id="rId2215" location="gid=84296321" ref="BZ273"/>
    <hyperlink r:id="rId2216" location="gid=84296321" ref="CJ273"/>
    <hyperlink r:id="rId2217" location="gid=84296321" ref="CT273"/>
    <hyperlink r:id="rId2218" location="gid=84296321" ref="DD273"/>
    <hyperlink r:id="rId2219" location="gid=84296321" ref="DN273"/>
    <hyperlink r:id="rId2220" location="gid=84296321" ref="DX273"/>
    <hyperlink r:id="rId2221" location="gid=84296321" ref="R274"/>
    <hyperlink r:id="rId2222" location="gid=84296321" ref="AB274"/>
    <hyperlink r:id="rId2223" location="gid=84296321" ref="AL274"/>
    <hyperlink r:id="rId2224" location="gid=84296321" ref="AV274"/>
    <hyperlink r:id="rId2225" location="gid=84296321" ref="BF274"/>
    <hyperlink r:id="rId2226" location="gid=84296321" ref="BP274"/>
    <hyperlink r:id="rId2227" location="gid=84296321" ref="BZ274"/>
    <hyperlink r:id="rId2228" location="gid=84296321" ref="CJ274"/>
    <hyperlink r:id="rId2229" location="gid=84296321" ref="CT274"/>
    <hyperlink r:id="rId2230" location="gid=84296321" ref="DD274"/>
    <hyperlink r:id="rId2231" location="gid=84296321" ref="DN274"/>
    <hyperlink r:id="rId2232" location="gid=84296321" ref="DX274"/>
    <hyperlink r:id="rId2233" location="gid=84296321" ref="R275"/>
    <hyperlink r:id="rId2234" location="gid=84296321" ref="AB275"/>
    <hyperlink r:id="rId2235" location="gid=84296321" ref="AL275"/>
    <hyperlink r:id="rId2236" location="gid=84296321" ref="AV275"/>
    <hyperlink r:id="rId2237" location="gid=84296321" ref="BF275"/>
    <hyperlink r:id="rId2238" location="gid=84296321" ref="BP275"/>
    <hyperlink r:id="rId2239" location="gid=84296321" ref="BZ275"/>
    <hyperlink r:id="rId2240" location="gid=84296321" ref="CJ275"/>
    <hyperlink r:id="rId2241" location="gid=84296321" ref="CT275"/>
    <hyperlink r:id="rId2242" location="gid=84296321" ref="DD275"/>
    <hyperlink r:id="rId2243" location="gid=84296321" ref="DN275"/>
    <hyperlink r:id="rId2244" location="gid=84296321" ref="DX275"/>
    <hyperlink r:id="rId2245" location="gid=84296321" ref="R276"/>
    <hyperlink r:id="rId2246" location="gid=84296321" ref="AB276"/>
    <hyperlink r:id="rId2247" location="gid=84296321" ref="AL276"/>
    <hyperlink r:id="rId2248" location="gid=84296321" ref="AV276"/>
    <hyperlink r:id="rId2249" location="gid=84296321" ref="BF276"/>
    <hyperlink r:id="rId2250" location="gid=84296321" ref="BP276"/>
    <hyperlink r:id="rId2251" location="gid=84296321" ref="BZ276"/>
    <hyperlink r:id="rId2252" location="gid=84296321" ref="CJ276"/>
    <hyperlink r:id="rId2253" location="gid=84296321" ref="CT276"/>
    <hyperlink r:id="rId2254" location="gid=84296321" ref="DD276"/>
    <hyperlink r:id="rId2255" location="gid=84296321" ref="DN276"/>
    <hyperlink r:id="rId2256" location="gid=84296321" ref="DX276"/>
    <hyperlink r:id="rId2257" location="gid=84296321" ref="R277"/>
    <hyperlink r:id="rId2258" location="gid=84296321" ref="AB277"/>
    <hyperlink r:id="rId2259" location="gid=84296321" ref="AL277"/>
    <hyperlink r:id="rId2260" location="gid=84296321" ref="AV277"/>
    <hyperlink r:id="rId2261" location="gid=84296321" ref="BF277"/>
    <hyperlink r:id="rId2262" location="gid=84296321" ref="BP277"/>
    <hyperlink r:id="rId2263" location="gid=84296321" ref="BZ277"/>
    <hyperlink r:id="rId2264" location="gid=84296321" ref="CJ277"/>
    <hyperlink r:id="rId2265" location="gid=84296321" ref="CT277"/>
    <hyperlink r:id="rId2266" location="gid=84296321" ref="DD277"/>
    <hyperlink r:id="rId2267" location="gid=84296321" ref="DN277"/>
    <hyperlink r:id="rId2268" location="gid=84296321" ref="DX277"/>
    <hyperlink r:id="rId2269" location="gid=84296321" ref="R278"/>
    <hyperlink r:id="rId2270" location="gid=84296321" ref="AB278"/>
    <hyperlink r:id="rId2271" location="gid=84296321" ref="AL278"/>
    <hyperlink r:id="rId2272" location="gid=84296321" ref="AV278"/>
    <hyperlink r:id="rId2273" location="gid=84296321" ref="BF278"/>
    <hyperlink r:id="rId2274" location="gid=84296321" ref="BP278"/>
    <hyperlink r:id="rId2275" location="gid=84296321" ref="BZ278"/>
    <hyperlink r:id="rId2276" location="gid=84296321" ref="CJ278"/>
    <hyperlink r:id="rId2277" location="gid=84296321" ref="CT278"/>
    <hyperlink r:id="rId2278" location="gid=84296321" ref="DD278"/>
    <hyperlink r:id="rId2279" location="gid=84296321" ref="DN278"/>
    <hyperlink r:id="rId2280" location="gid=84296321" ref="DX278"/>
    <hyperlink r:id="rId2281" location="gid=84296321" ref="R279"/>
    <hyperlink r:id="rId2282" location="gid=84296321" ref="AB279"/>
    <hyperlink r:id="rId2283" location="gid=84296321" ref="AL279"/>
    <hyperlink r:id="rId2284" location="gid=84296321" ref="AV279"/>
    <hyperlink r:id="rId2285" location="gid=84296321" ref="BF279"/>
    <hyperlink r:id="rId2286" location="gid=84296321" ref="BP279"/>
    <hyperlink r:id="rId2287" location="gid=84296321" ref="BZ279"/>
    <hyperlink r:id="rId2288" location="gid=84296321" ref="CJ279"/>
    <hyperlink r:id="rId2289" location="gid=84296321" ref="CT279"/>
    <hyperlink r:id="rId2290" location="gid=84296321" ref="DD279"/>
    <hyperlink r:id="rId2291" location="gid=84296321" ref="DN279"/>
    <hyperlink r:id="rId2292" location="gid=84296321" ref="DX279"/>
    <hyperlink r:id="rId2293" location="gid=84296321" ref="R280"/>
    <hyperlink r:id="rId2294" location="gid=84296321" ref="AB280"/>
    <hyperlink r:id="rId2295" location="gid=84296321" ref="AL280"/>
    <hyperlink r:id="rId2296" location="gid=84296321" ref="AV280"/>
    <hyperlink r:id="rId2297" location="gid=84296321" ref="BF280"/>
    <hyperlink r:id="rId2298" location="gid=84296321" ref="BP280"/>
    <hyperlink r:id="rId2299" location="gid=84296321" ref="BZ280"/>
    <hyperlink r:id="rId2300" location="gid=84296321" ref="CJ280"/>
    <hyperlink r:id="rId2301" location="gid=84296321" ref="CT280"/>
    <hyperlink r:id="rId2302" location="gid=84296321" ref="DD280"/>
    <hyperlink r:id="rId2303" location="gid=84296321" ref="DN280"/>
    <hyperlink r:id="rId2304" location="gid=84296321" ref="DX280"/>
    <hyperlink r:id="rId2305" location="gid=84296321" ref="R281"/>
    <hyperlink r:id="rId2306" location="gid=84296321" ref="AB281"/>
    <hyperlink r:id="rId2307" location="gid=84296321" ref="AL281"/>
    <hyperlink r:id="rId2308" location="gid=84296321" ref="AV281"/>
    <hyperlink r:id="rId2309" location="gid=84296321" ref="BF281"/>
    <hyperlink r:id="rId2310" location="gid=84296321" ref="BP281"/>
    <hyperlink r:id="rId2311" location="gid=84296321" ref="BZ281"/>
    <hyperlink r:id="rId2312" location="gid=84296321" ref="CJ281"/>
    <hyperlink r:id="rId2313" location="gid=84296321" ref="CT281"/>
    <hyperlink r:id="rId2314" location="gid=84296321" ref="DD281"/>
    <hyperlink r:id="rId2315" location="gid=84296321" ref="DN281"/>
    <hyperlink r:id="rId2316" location="gid=84296321" ref="DX281"/>
    <hyperlink r:id="rId2317" location="gid=84296321" ref="R282"/>
    <hyperlink r:id="rId2318" location="gid=84296321" ref="AB282"/>
    <hyperlink r:id="rId2319" location="gid=84296321" ref="AL282"/>
    <hyperlink r:id="rId2320" location="gid=84296321" ref="AV282"/>
    <hyperlink r:id="rId2321" location="gid=84296321" ref="BF282"/>
    <hyperlink r:id="rId2322" location="gid=84296321" ref="BP282"/>
    <hyperlink r:id="rId2323" location="gid=84296321" ref="BZ282"/>
    <hyperlink r:id="rId2324" location="gid=84296321" ref="CJ282"/>
    <hyperlink r:id="rId2325" location="gid=84296321" ref="CT282"/>
    <hyperlink r:id="rId2326" location="gid=84296321" ref="DD282"/>
    <hyperlink r:id="rId2327" location="gid=84296321" ref="DN282"/>
    <hyperlink r:id="rId2328" location="gid=84296321" ref="DX282"/>
    <hyperlink r:id="rId2329" location="gid=84296321" ref="R283"/>
    <hyperlink r:id="rId2330" location="gid=84296321" ref="AB283"/>
    <hyperlink r:id="rId2331" location="gid=84296321" ref="AL283"/>
    <hyperlink r:id="rId2332" location="gid=84296321" ref="AV283"/>
    <hyperlink r:id="rId2333" location="gid=84296321" ref="BF283"/>
    <hyperlink r:id="rId2334" location="gid=84296321" ref="BP283"/>
    <hyperlink r:id="rId2335" location="gid=84296321" ref="BZ283"/>
    <hyperlink r:id="rId2336" location="gid=84296321" ref="CJ283"/>
    <hyperlink r:id="rId2337" location="gid=84296321" ref="CT283"/>
    <hyperlink r:id="rId2338" location="gid=84296321" ref="DD283"/>
    <hyperlink r:id="rId2339" location="gid=84296321" ref="DN283"/>
    <hyperlink r:id="rId2340" location="gid=84296321" ref="DX283"/>
    <hyperlink r:id="rId2341" location="gid=84296321" ref="R284"/>
    <hyperlink r:id="rId2342" location="gid=84296321" ref="AB284"/>
    <hyperlink r:id="rId2343" location="gid=84296321" ref="AL284"/>
    <hyperlink r:id="rId2344" location="gid=84296321" ref="AV284"/>
    <hyperlink r:id="rId2345" location="gid=84296321" ref="BF284"/>
    <hyperlink r:id="rId2346" location="gid=84296321" ref="BP284"/>
    <hyperlink r:id="rId2347" location="gid=84296321" ref="BZ284"/>
    <hyperlink r:id="rId2348" location="gid=84296321" ref="CJ284"/>
    <hyperlink r:id="rId2349" location="gid=84296321" ref="CT284"/>
    <hyperlink r:id="rId2350" location="gid=84296321" ref="DD284"/>
    <hyperlink r:id="rId2351" location="gid=84296321" ref="DN284"/>
    <hyperlink r:id="rId2352" location="gid=84296321" ref="DX284"/>
    <hyperlink r:id="rId2353" location="gid=84296321" ref="R285"/>
    <hyperlink r:id="rId2354" location="gid=84296321" ref="AB285"/>
    <hyperlink r:id="rId2355" location="gid=84296321" ref="AL285"/>
    <hyperlink r:id="rId2356" location="gid=84296321" ref="AV285"/>
    <hyperlink r:id="rId2357" location="gid=84296321" ref="BF285"/>
    <hyperlink r:id="rId2358" location="gid=84296321" ref="BP285"/>
    <hyperlink r:id="rId2359" location="gid=84296321" ref="BZ285"/>
    <hyperlink r:id="rId2360" location="gid=84296321" ref="CJ285"/>
    <hyperlink r:id="rId2361" location="gid=84296321" ref="CT285"/>
    <hyperlink r:id="rId2362" location="gid=84296321" ref="DD285"/>
    <hyperlink r:id="rId2363" location="gid=84296321" ref="DN285"/>
    <hyperlink r:id="rId2364" location="gid=84296321" ref="DX285"/>
    <hyperlink r:id="rId2365" location="gid=84296321" ref="R286"/>
    <hyperlink r:id="rId2366" location="gid=84296321" ref="AB286"/>
    <hyperlink r:id="rId2367" location="gid=84296321" ref="AL286"/>
    <hyperlink r:id="rId2368" location="gid=84296321" ref="AV286"/>
    <hyperlink r:id="rId2369" location="gid=84296321" ref="BF286"/>
    <hyperlink r:id="rId2370" location="gid=84296321" ref="BP286"/>
    <hyperlink r:id="rId2371" location="gid=84296321" ref="BZ286"/>
    <hyperlink r:id="rId2372" location="gid=84296321" ref="CJ286"/>
    <hyperlink r:id="rId2373" location="gid=84296321" ref="CT286"/>
    <hyperlink r:id="rId2374" location="gid=84296321" ref="DD286"/>
    <hyperlink r:id="rId2375" location="gid=84296321" ref="DN286"/>
    <hyperlink r:id="rId2376" location="gid=84296321" ref="DX286"/>
    <hyperlink r:id="rId2377" location="gid=84296321" ref="R287"/>
    <hyperlink r:id="rId2378" location="gid=84296321" ref="AB287"/>
    <hyperlink r:id="rId2379" location="gid=84296321" ref="AL287"/>
    <hyperlink r:id="rId2380" location="gid=84296321" ref="AV287"/>
    <hyperlink r:id="rId2381" location="gid=84296321" ref="BF287"/>
    <hyperlink r:id="rId2382" location="gid=84296321" ref="BP287"/>
    <hyperlink r:id="rId2383" location="gid=84296321" ref="BZ287"/>
    <hyperlink r:id="rId2384" location="gid=84296321" ref="CJ287"/>
    <hyperlink r:id="rId2385" location="gid=84296321" ref="CT287"/>
    <hyperlink r:id="rId2386" location="gid=84296321" ref="DD287"/>
    <hyperlink r:id="rId2387" location="gid=84296321" ref="DN287"/>
    <hyperlink r:id="rId2388" location="gid=84296321" ref="DX287"/>
    <hyperlink r:id="rId2389" location="gid=84296321" ref="R288"/>
    <hyperlink r:id="rId2390" location="gid=84296321" ref="AB288"/>
    <hyperlink r:id="rId2391" location="gid=84296321" ref="AL288"/>
    <hyperlink r:id="rId2392" location="gid=84296321" ref="AV288"/>
    <hyperlink r:id="rId2393" location="gid=84296321" ref="BF288"/>
    <hyperlink r:id="rId2394" location="gid=84296321" ref="BP288"/>
    <hyperlink r:id="rId2395" location="gid=84296321" ref="BZ288"/>
    <hyperlink r:id="rId2396" location="gid=84296321" ref="CJ288"/>
    <hyperlink r:id="rId2397" location="gid=84296321" ref="CT288"/>
    <hyperlink r:id="rId2398" location="gid=84296321" ref="DD288"/>
    <hyperlink r:id="rId2399" location="gid=84296321" ref="DN288"/>
    <hyperlink r:id="rId2400" location="gid=84296321" ref="DX288"/>
    <hyperlink r:id="rId2401" location="gid=84296321" ref="R289"/>
    <hyperlink r:id="rId2402" location="gid=84296321" ref="AB289"/>
    <hyperlink r:id="rId2403" location="gid=84296321" ref="AL289"/>
    <hyperlink r:id="rId2404" location="gid=84296321" ref="AV289"/>
    <hyperlink r:id="rId2405" location="gid=84296321" ref="BF289"/>
    <hyperlink r:id="rId2406" location="gid=84296321" ref="BP289"/>
    <hyperlink r:id="rId2407" location="gid=84296321" ref="BZ289"/>
    <hyperlink r:id="rId2408" location="gid=84296321" ref="CJ289"/>
    <hyperlink r:id="rId2409" location="gid=84296321" ref="CT289"/>
    <hyperlink r:id="rId2410" location="gid=84296321" ref="DD289"/>
    <hyperlink r:id="rId2411" location="gid=84296321" ref="DN289"/>
    <hyperlink r:id="rId2412" location="gid=84296321" ref="DX289"/>
    <hyperlink r:id="rId2413" location="gid=84296321" ref="R290"/>
    <hyperlink r:id="rId2414" location="gid=84296321" ref="AB290"/>
    <hyperlink r:id="rId2415" location="gid=84296321" ref="AL290"/>
    <hyperlink r:id="rId2416" location="gid=84296321" ref="AV290"/>
    <hyperlink r:id="rId2417" location="gid=84296321" ref="BF290"/>
    <hyperlink r:id="rId2418" location="gid=84296321" ref="BP290"/>
    <hyperlink r:id="rId2419" location="gid=84296321" ref="BZ290"/>
    <hyperlink r:id="rId2420" location="gid=84296321" ref="CJ290"/>
    <hyperlink r:id="rId2421" location="gid=84296321" ref="CT290"/>
    <hyperlink r:id="rId2422" location="gid=84296321" ref="DD290"/>
    <hyperlink r:id="rId2423" location="gid=84296321" ref="DN290"/>
    <hyperlink r:id="rId2424" location="gid=84296321" ref="DX290"/>
    <hyperlink r:id="rId2425" location="gid=84296321" ref="R291"/>
    <hyperlink r:id="rId2426" location="gid=84296321" ref="AB291"/>
    <hyperlink r:id="rId2427" location="gid=84296321" ref="AL291"/>
    <hyperlink r:id="rId2428" location="gid=84296321" ref="AV291"/>
    <hyperlink r:id="rId2429" location="gid=84296321" ref="BF291"/>
    <hyperlink r:id="rId2430" location="gid=84296321" ref="BP291"/>
    <hyperlink r:id="rId2431" location="gid=84296321" ref="BZ291"/>
    <hyperlink r:id="rId2432" location="gid=84296321" ref="CJ291"/>
    <hyperlink r:id="rId2433" location="gid=84296321" ref="CT291"/>
    <hyperlink r:id="rId2434" location="gid=84296321" ref="DD291"/>
    <hyperlink r:id="rId2435" location="gid=84296321" ref="DN291"/>
    <hyperlink r:id="rId2436" location="gid=84296321" ref="DX291"/>
    <hyperlink r:id="rId2437" location="gid=84296321" ref="R292"/>
    <hyperlink r:id="rId2438" location="gid=84296321" ref="AB292"/>
    <hyperlink r:id="rId2439" location="gid=84296321" ref="AL292"/>
    <hyperlink r:id="rId2440" location="gid=84296321" ref="AV292"/>
    <hyperlink r:id="rId2441" location="gid=84296321" ref="BF292"/>
    <hyperlink r:id="rId2442" location="gid=84296321" ref="BP292"/>
    <hyperlink r:id="rId2443" location="gid=84296321" ref="BZ292"/>
    <hyperlink r:id="rId2444" location="gid=84296321" ref="CJ292"/>
    <hyperlink r:id="rId2445" location="gid=84296321" ref="CT292"/>
    <hyperlink r:id="rId2446" location="gid=84296321" ref="DD292"/>
    <hyperlink r:id="rId2447" location="gid=84296321" ref="DN292"/>
    <hyperlink r:id="rId2448" location="gid=84296321" ref="DX292"/>
    <hyperlink r:id="rId2449" location="gid=84296321" ref="R293"/>
    <hyperlink r:id="rId2450" location="gid=84296321" ref="AB293"/>
    <hyperlink r:id="rId2451" location="gid=84296321" ref="AL293"/>
    <hyperlink r:id="rId2452" location="gid=84296321" ref="AV293"/>
    <hyperlink r:id="rId2453" location="gid=84296321" ref="BF293"/>
    <hyperlink r:id="rId2454" location="gid=84296321" ref="BP293"/>
    <hyperlink r:id="rId2455" location="gid=84296321" ref="BZ293"/>
    <hyperlink r:id="rId2456" location="gid=84296321" ref="CJ293"/>
    <hyperlink r:id="rId2457" location="gid=84296321" ref="CT293"/>
    <hyperlink r:id="rId2458" location="gid=84296321" ref="DD293"/>
    <hyperlink r:id="rId2459" location="gid=84296321" ref="DN293"/>
    <hyperlink r:id="rId2460" location="gid=84296321" ref="DX293"/>
    <hyperlink r:id="rId2461" location="gid=84296321" ref="R294"/>
    <hyperlink r:id="rId2462" location="gid=84296321" ref="AB294"/>
    <hyperlink r:id="rId2463" location="gid=84296321" ref="AL294"/>
    <hyperlink r:id="rId2464" location="gid=84296321" ref="AV294"/>
    <hyperlink r:id="rId2465" location="gid=84296321" ref="BF294"/>
    <hyperlink r:id="rId2466" location="gid=84296321" ref="BP294"/>
    <hyperlink r:id="rId2467" location="gid=84296321" ref="BZ294"/>
    <hyperlink r:id="rId2468" location="gid=84296321" ref="CJ294"/>
    <hyperlink r:id="rId2469" location="gid=84296321" ref="CT294"/>
    <hyperlink r:id="rId2470" location="gid=84296321" ref="DD294"/>
    <hyperlink r:id="rId2471" location="gid=84296321" ref="DN294"/>
    <hyperlink r:id="rId2472" location="gid=84296321" ref="DX294"/>
    <hyperlink r:id="rId2473" location="gid=84296321" ref="R295"/>
    <hyperlink r:id="rId2474" location="gid=84296321" ref="AB295"/>
    <hyperlink r:id="rId2475" location="gid=84296321" ref="AL295"/>
    <hyperlink r:id="rId2476" location="gid=84296321" ref="AV295"/>
    <hyperlink r:id="rId2477" location="gid=84296321" ref="BF295"/>
    <hyperlink r:id="rId2478" location="gid=84296321" ref="BP295"/>
    <hyperlink r:id="rId2479" location="gid=84296321" ref="BZ295"/>
    <hyperlink r:id="rId2480" location="gid=84296321" ref="CJ295"/>
    <hyperlink r:id="rId2481" location="gid=84296321" ref="CT295"/>
    <hyperlink r:id="rId2482" location="gid=84296321" ref="DD295"/>
    <hyperlink r:id="rId2483" location="gid=84296321" ref="DN295"/>
    <hyperlink r:id="rId2484" location="gid=84296321" ref="DX295"/>
    <hyperlink r:id="rId2485" location="gid=84296321" ref="R296"/>
    <hyperlink r:id="rId2486" location="gid=84296321" ref="AB296"/>
    <hyperlink r:id="rId2487" location="gid=84296321" ref="AL296"/>
    <hyperlink r:id="rId2488" location="gid=84296321" ref="AV296"/>
    <hyperlink r:id="rId2489" location="gid=84296321" ref="BF296"/>
    <hyperlink r:id="rId2490" location="gid=84296321" ref="BP296"/>
    <hyperlink r:id="rId2491" location="gid=84296321" ref="BZ296"/>
    <hyperlink r:id="rId2492" location="gid=84296321" ref="CJ296"/>
    <hyperlink r:id="rId2493" location="gid=84296321" ref="CT296"/>
    <hyperlink r:id="rId2494" location="gid=84296321" ref="DD296"/>
    <hyperlink r:id="rId2495" location="gid=84296321" ref="DN296"/>
    <hyperlink r:id="rId2496" location="gid=84296321" ref="DX296"/>
    <hyperlink r:id="rId2497" location="gid=84296321" ref="R297"/>
    <hyperlink r:id="rId2498" location="gid=84296321" ref="AB297"/>
    <hyperlink r:id="rId2499" location="gid=84296321" ref="AL297"/>
    <hyperlink r:id="rId2500" location="gid=84296321" ref="AV297"/>
    <hyperlink r:id="rId2501" location="gid=84296321" ref="BF297"/>
    <hyperlink r:id="rId2502" location="gid=84296321" ref="BP297"/>
    <hyperlink r:id="rId2503" location="gid=84296321" ref="BZ297"/>
    <hyperlink r:id="rId2504" location="gid=84296321" ref="CJ297"/>
    <hyperlink r:id="rId2505" location="gid=84296321" ref="CT297"/>
    <hyperlink r:id="rId2506" location="gid=84296321" ref="DD297"/>
    <hyperlink r:id="rId2507" location="gid=84296321" ref="DN297"/>
    <hyperlink r:id="rId2508" location="gid=84296321" ref="DX297"/>
    <hyperlink r:id="rId2509" location="gid=84296321" ref="R298"/>
    <hyperlink r:id="rId2510" location="gid=84296321" ref="AB298"/>
    <hyperlink r:id="rId2511" location="gid=84296321" ref="AL298"/>
    <hyperlink r:id="rId2512" location="gid=84296321" ref="AV298"/>
    <hyperlink r:id="rId2513" location="gid=84296321" ref="BF298"/>
    <hyperlink r:id="rId2514" location="gid=84296321" ref="BP298"/>
    <hyperlink r:id="rId2515" location="gid=84296321" ref="BZ298"/>
    <hyperlink r:id="rId2516" location="gid=84296321" ref="CJ298"/>
    <hyperlink r:id="rId2517" location="gid=84296321" ref="CT298"/>
    <hyperlink r:id="rId2518" location="gid=84296321" ref="DD298"/>
    <hyperlink r:id="rId2519" location="gid=84296321" ref="DN298"/>
    <hyperlink r:id="rId2520" location="gid=84296321" ref="DX298"/>
    <hyperlink r:id="rId2521" location="gid=84296321" ref="R299"/>
    <hyperlink r:id="rId2522" location="gid=84296321" ref="AB299"/>
    <hyperlink r:id="rId2523" location="gid=84296321" ref="AL299"/>
    <hyperlink r:id="rId2524" location="gid=84296321" ref="AV299"/>
    <hyperlink r:id="rId2525" location="gid=84296321" ref="BF299"/>
    <hyperlink r:id="rId2526" location="gid=84296321" ref="BP299"/>
    <hyperlink r:id="rId2527" location="gid=84296321" ref="BZ299"/>
    <hyperlink r:id="rId2528" location="gid=84296321" ref="CJ299"/>
    <hyperlink r:id="rId2529" location="gid=84296321" ref="CT299"/>
    <hyperlink r:id="rId2530" location="gid=84296321" ref="DD299"/>
    <hyperlink r:id="rId2531" location="gid=84296321" ref="DN299"/>
    <hyperlink r:id="rId2532" location="gid=84296321" ref="DX299"/>
  </hyperlinks>
  <drawing r:id="rId2533"/>
  <legacyDrawing r:id="rId253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907</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IFERROR(__xludf.DUMMYFUNCTION("""COMPUTED_VALUE"""),0.0)</f>
        <v>0</v>
      </c>
    </row>
    <row r="5">
      <c r="A5" s="2">
        <v>4.0</v>
      </c>
      <c r="B5" s="1137" t="str">
        <f>IFERROR(__xludf.DUMMYFUNCTION("iferror(IMPORTRANGE('①R8_4集計'!$AT$9, ""日別集計!D5:AH5""),""ファイルなし"")"),"ファイルなし")</f>
        <v>ファイルなし</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908</v>
      </c>
      <c r="C30" s="235"/>
      <c r="D30" s="235"/>
      <c r="E30" s="235"/>
      <c r="F30" s="238"/>
    </row>
    <row r="31">
      <c r="B31" s="1141" t="s">
        <v>909</v>
      </c>
      <c r="C31" s="1142" t="s">
        <v>317</v>
      </c>
      <c r="D31" s="1142" t="s">
        <v>318</v>
      </c>
      <c r="E31" s="1142" t="s">
        <v>807</v>
      </c>
      <c r="F31" s="1143" t="s">
        <v>315</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305</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306</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307</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307</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308</v>
      </c>
      <c r="C5" s="73"/>
      <c r="D5" s="329">
        <v>46054.0</v>
      </c>
      <c r="E5" s="73"/>
      <c r="F5" s="330" t="s">
        <v>309</v>
      </c>
      <c r="G5" s="331">
        <f>DAY(EOMONTH(D5,0))</f>
        <v>28</v>
      </c>
      <c r="H5" s="332" t="s">
        <v>310</v>
      </c>
      <c r="I5" s="330" t="s">
        <v>311</v>
      </c>
      <c r="J5" s="333" t="b">
        <v>1</v>
      </c>
      <c r="K5" s="330" t="s">
        <v>312</v>
      </c>
      <c r="L5" s="334" t="b">
        <v>1</v>
      </c>
      <c r="M5" s="335" t="s">
        <v>313</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314</v>
      </c>
      <c r="C6" s="339" t="s">
        <v>315</v>
      </c>
      <c r="D6" s="89"/>
      <c r="E6" s="340" t="s">
        <v>316</v>
      </c>
      <c r="F6" s="73"/>
      <c r="G6" s="341" t="s">
        <v>317</v>
      </c>
      <c r="H6" s="341" t="s">
        <v>318</v>
      </c>
      <c r="I6" s="341" t="s">
        <v>319</v>
      </c>
      <c r="J6" s="341" t="s">
        <v>320</v>
      </c>
      <c r="K6" s="339" t="s">
        <v>321</v>
      </c>
      <c r="L6" s="342" t="s">
        <v>322</v>
      </c>
      <c r="M6" s="343" t="s">
        <v>323</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324</v>
      </c>
      <c r="AW6" s="73"/>
      <c r="AX6" s="347"/>
      <c r="AY6" s="348" t="s">
        <v>325</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326</v>
      </c>
      <c r="H7" s="356">
        <f t="array" ref="H7">xlookup($D$5,'🌟目標数値'!$A$3:$A$14,'🌟目標数値'!D$3:D14)</f>
        <v>10990334</v>
      </c>
      <c r="I7" s="356" t="s">
        <v>326</v>
      </c>
      <c r="J7" s="357" t="s">
        <v>326</v>
      </c>
      <c r="K7" s="358" t="s">
        <v>326</v>
      </c>
      <c r="L7" s="358" t="s">
        <v>326</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361" t="str">
        <f>IFERROR(__xludf.DUMMYFUNCTION("IMPORTRANGE(AT9,""日別集計!AI4"")"),"#N/A")</f>
        <v>#N/A</v>
      </c>
      <c r="AW7" s="73"/>
      <c r="AX7" s="347"/>
      <c r="AY7" s="362"/>
      <c r="BG7" s="363"/>
      <c r="BL7" s="351"/>
    </row>
    <row r="8" ht="15.75" customHeight="1" outlineLevel="1">
      <c r="B8" s="364" t="s">
        <v>327</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328</v>
      </c>
      <c r="C9" s="379" t="s">
        <v>326</v>
      </c>
      <c r="D9" s="73"/>
      <c r="E9" s="380" t="s">
        <v>326</v>
      </c>
      <c r="F9" s="73"/>
      <c r="G9" s="381" t="s">
        <v>326</v>
      </c>
      <c r="H9" s="382">
        <f>H7/G5*COUNTIFS($E$11:$E$41,"&gt;0")</f>
        <v>0</v>
      </c>
      <c r="I9" s="382" t="s">
        <v>326</v>
      </c>
      <c r="J9" s="383" t="s">
        <v>326</v>
      </c>
      <c r="K9" s="384" t="s">
        <v>326</v>
      </c>
      <c r="L9" s="384" t="s">
        <v>326</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329</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330</v>
      </c>
      <c r="C11" s="393" t="s">
        <v>290</v>
      </c>
      <c r="D11" s="394" t="s">
        <v>331</v>
      </c>
      <c r="E11" s="394" t="s">
        <v>291</v>
      </c>
      <c r="F11" s="394" t="s">
        <v>292</v>
      </c>
      <c r="G11" s="394" t="s">
        <v>333</v>
      </c>
      <c r="H11" s="395" t="s">
        <v>294</v>
      </c>
      <c r="I11" s="396" t="s">
        <v>295</v>
      </c>
      <c r="J11" s="396" t="s">
        <v>296</v>
      </c>
      <c r="K11" s="396" t="s">
        <v>297</v>
      </c>
      <c r="L11" s="396" t="s">
        <v>298</v>
      </c>
      <c r="M11" s="395" t="s">
        <v>299</v>
      </c>
      <c r="N11" s="395" t="s">
        <v>334</v>
      </c>
      <c r="O11" s="397" t="s">
        <v>335</v>
      </c>
      <c r="P11" s="392" t="s">
        <v>336</v>
      </c>
      <c r="Q11" s="392" t="s">
        <v>337</v>
      </c>
      <c r="R11" s="392" t="s">
        <v>338</v>
      </c>
      <c r="S11" s="392" t="s">
        <v>339</v>
      </c>
      <c r="T11" s="392" t="s">
        <v>340</v>
      </c>
      <c r="U11" s="392" t="s">
        <v>341</v>
      </c>
      <c r="V11" s="392" t="s">
        <v>342</v>
      </c>
      <c r="W11" s="392" t="s">
        <v>343</v>
      </c>
      <c r="X11" s="392" t="s">
        <v>344</v>
      </c>
      <c r="Y11" s="392" t="s">
        <v>345</v>
      </c>
      <c r="Z11" s="392" t="s">
        <v>346</v>
      </c>
      <c r="AA11" s="392" t="s">
        <v>347</v>
      </c>
      <c r="AB11" s="392" t="s">
        <v>348</v>
      </c>
      <c r="AC11" s="398" t="s">
        <v>299</v>
      </c>
      <c r="AD11" s="399" t="s">
        <v>349</v>
      </c>
      <c r="AE11" s="399" t="s">
        <v>350</v>
      </c>
      <c r="AF11" s="399" t="s">
        <v>351</v>
      </c>
      <c r="AG11" s="400" t="s">
        <v>352</v>
      </c>
      <c r="AH11" s="400" t="s">
        <v>353</v>
      </c>
      <c r="AI11" s="400" t="s">
        <v>354</v>
      </c>
      <c r="AJ11" s="400" t="s">
        <v>355</v>
      </c>
      <c r="AK11" s="400" t="s">
        <v>356</v>
      </c>
      <c r="AL11" s="400" t="s">
        <v>357</v>
      </c>
      <c r="AM11" s="400" t="s">
        <v>358</v>
      </c>
      <c r="AN11" s="400" t="s">
        <v>359</v>
      </c>
      <c r="AO11" s="400" t="s">
        <v>360</v>
      </c>
      <c r="AP11" s="400" t="s">
        <v>361</v>
      </c>
      <c r="AQ11" s="400" t="s">
        <v>362</v>
      </c>
      <c r="AR11" s="400" t="s">
        <v>363</v>
      </c>
      <c r="AS11" s="392" t="s">
        <v>364</v>
      </c>
      <c r="AT11" s="394" t="s">
        <v>365</v>
      </c>
      <c r="AU11" s="401" t="s">
        <v>366</v>
      </c>
      <c r="AV11" s="392" t="s">
        <v>37</v>
      </c>
      <c r="AW11" s="402" t="s">
        <v>367</v>
      </c>
      <c r="AX11" s="403"/>
      <c r="AY11" s="404">
        <f>$D$5</f>
        <v>46054</v>
      </c>
      <c r="BI11" s="203" t="s">
        <v>96</v>
      </c>
      <c r="BJ11" s="203" t="s">
        <v>97</v>
      </c>
      <c r="BL11" s="405" t="s">
        <v>96</v>
      </c>
      <c r="BM11" s="405" t="s">
        <v>368</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369</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370</v>
      </c>
      <c r="AZ13" s="421" t="s">
        <v>371</v>
      </c>
      <c r="BA13" s="421" t="s">
        <v>372</v>
      </c>
      <c r="BB13" s="421" t="s">
        <v>373</v>
      </c>
      <c r="BC13" s="337"/>
      <c r="BD13" s="420" t="s">
        <v>90</v>
      </c>
      <c r="BE13" s="421" t="s">
        <v>374</v>
      </c>
      <c r="BF13" s="421" t="s">
        <v>372</v>
      </c>
      <c r="BG13" s="421" t="s">
        <v>373</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168" t="str">
        <f>'🏆皆勤アワード'!P7</f>
        <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303</v>
      </c>
      <c r="AZ20" s="440">
        <f>IFERROR(__xludf.DUMMYFUNCTION("IMPORTRANGE(""https://docs.google.com/spreadsheets/d/1QbHfX9wvC_RRupa4CCe_ZxA6O4e2Ap9vqX5hrZPeQRg/edit?gid=284905409#gid=284905409"",""date2_1!B7"")/G5*COUNTIFS($E$13:$E$43,""&gt;0"")+sum(AZ14:BA19)"),0.0)</f>
        <v>0</v>
      </c>
      <c r="BA20" s="441"/>
      <c r="BB20" s="442"/>
      <c r="BC20" s="323"/>
      <c r="BD20" s="439" t="s">
        <v>303</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376</v>
      </c>
      <c r="AZ22" s="445"/>
      <c r="BA22" s="445"/>
      <c r="BB22" s="446" t="s">
        <v>377</v>
      </c>
      <c r="BC22" s="337"/>
      <c r="BD22" s="447"/>
      <c r="BE22" s="446" t="s">
        <v>378</v>
      </c>
      <c r="BF22" s="446" t="s">
        <v>379</v>
      </c>
      <c r="BG22" s="446" t="s">
        <v>303</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380</v>
      </c>
      <c r="AZ23" s="449">
        <f>AR44</f>
        <v>0</v>
      </c>
      <c r="BA23" s="73"/>
      <c r="BB23" s="450">
        <f>AZ23-AZ24</f>
        <v>0</v>
      </c>
      <c r="BC23" s="323"/>
      <c r="BD23" s="451" t="s">
        <v>381</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382</v>
      </c>
      <c r="AZ24" s="449">
        <f>BE36</f>
        <v>0</v>
      </c>
      <c r="BA24" s="73"/>
      <c r="BB24" s="453"/>
      <c r="BC24" s="323"/>
      <c r="BD24" s="448" t="s">
        <v>383</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384</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910</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385</v>
      </c>
      <c r="AZ29" s="461" t="s">
        <v>318</v>
      </c>
      <c r="BA29" s="461" t="s">
        <v>386</v>
      </c>
      <c r="BB29" s="461" t="s">
        <v>387</v>
      </c>
      <c r="BC29" s="323"/>
      <c r="BD29" s="462" t="s">
        <v>388</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389</v>
      </c>
      <c r="AZ30" s="452">
        <f>AS46</f>
        <v>0</v>
      </c>
      <c r="BA30" s="465" t="s">
        <v>326</v>
      </c>
      <c r="BB30" s="450">
        <f>SUM(AZ30:AZ36)</f>
        <v>0</v>
      </c>
      <c r="BC30" s="323"/>
      <c r="BD30" s="466" t="s">
        <v>390</v>
      </c>
      <c r="BE30" s="467" t="s">
        <v>391</v>
      </c>
      <c r="BF30" s="467" t="s">
        <v>392</v>
      </c>
      <c r="BG30" s="468" t="s">
        <v>303</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393</v>
      </c>
      <c r="AZ31" s="452">
        <f t="shared" ref="AZ31:AZ33" si="10">BA31/$G$5*COUNTIFS($E$13:$E$43,"&gt;0")</f>
        <v>0</v>
      </c>
      <c r="BA31" s="469">
        <v>364800.0</v>
      </c>
      <c r="BB31" s="453"/>
      <c r="BC31" s="323"/>
      <c r="BD31" s="470" t="s">
        <v>394</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395</v>
      </c>
      <c r="AZ32" s="452">
        <f t="shared" si="10"/>
        <v>0</v>
      </c>
      <c r="BA32" s="469">
        <v>424864.0</v>
      </c>
      <c r="BB32" s="453"/>
      <c r="BC32" s="323"/>
      <c r="BD32" s="470" t="s">
        <v>396</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397</v>
      </c>
      <c r="AZ33" s="452">
        <f t="shared" si="10"/>
        <v>0</v>
      </c>
      <c r="BA33" s="469">
        <v>11806.0</v>
      </c>
      <c r="BB33" s="453"/>
      <c r="BC33" s="323"/>
      <c r="BD33" s="1148" t="s">
        <v>911</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49"/>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401</v>
      </c>
      <c r="AZ36" s="430">
        <f>BB40</f>
        <v>0</v>
      </c>
      <c r="BA36" s="430"/>
      <c r="BB36" s="210"/>
      <c r="BC36" s="323"/>
      <c r="BD36" s="439" t="s">
        <v>303</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402</v>
      </c>
      <c r="AZ38" s="482"/>
      <c r="BA38" s="323"/>
      <c r="BB38" s="403"/>
      <c r="BC38" s="323"/>
      <c r="BD38" s="323" t="s">
        <v>403</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385</v>
      </c>
      <c r="AZ39" s="461" t="s">
        <v>318</v>
      </c>
      <c r="BA39" s="461" t="s">
        <v>404</v>
      </c>
      <c r="BB39" s="461" t="s">
        <v>387</v>
      </c>
      <c r="BC39" s="337"/>
      <c r="BD39" s="460" t="s">
        <v>405</v>
      </c>
      <c r="BE39" s="461" t="s">
        <v>406</v>
      </c>
      <c r="BF39" s="461" t="s">
        <v>404</v>
      </c>
      <c r="BG39" s="461" t="s">
        <v>303</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0"/>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303</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391</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407</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408</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409</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410</v>
      </c>
      <c r="M2" s="539"/>
      <c r="N2" s="540" t="s">
        <v>912</v>
      </c>
      <c r="O2" s="541"/>
      <c r="P2" s="542"/>
      <c r="Q2" s="543"/>
      <c r="R2" s="543"/>
      <c r="S2" s="544"/>
      <c r="T2" s="543"/>
      <c r="U2" s="543"/>
      <c r="V2" s="543"/>
      <c r="W2" s="543"/>
      <c r="X2" s="543"/>
      <c r="Y2" s="545"/>
      <c r="Z2" s="270"/>
      <c r="AA2" s="270"/>
      <c r="AB2" s="270"/>
      <c r="AC2" s="270"/>
      <c r="AD2" s="270"/>
      <c r="AE2" s="270"/>
      <c r="AF2" s="546"/>
      <c r="AG2" s="547"/>
      <c r="AH2" s="548"/>
      <c r="AI2" s="549" t="s">
        <v>913</v>
      </c>
      <c r="AJ2" s="270"/>
      <c r="AS2" s="270"/>
      <c r="AT2" s="550" t="s">
        <v>413</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414</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415</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303</v>
      </c>
      <c r="BI3" s="188"/>
      <c r="BJ3" s="570" t="s">
        <v>416</v>
      </c>
      <c r="BK3" s="5"/>
      <c r="BL3" s="571">
        <v>46113.0</v>
      </c>
      <c r="BT3" s="188"/>
      <c r="BU3" s="188"/>
      <c r="BV3" s="188"/>
      <c r="BW3" s="188"/>
      <c r="BX3" s="188"/>
    </row>
    <row r="4" ht="18.0" customHeight="1">
      <c r="A4" s="536"/>
      <c r="B4" s="572" t="s">
        <v>417</v>
      </c>
      <c r="C4" s="573"/>
      <c r="D4" s="574"/>
      <c r="E4" s="575" t="s">
        <v>418</v>
      </c>
      <c r="F4" s="535"/>
      <c r="G4" s="536"/>
      <c r="H4" s="536"/>
      <c r="I4" s="576" t="s">
        <v>419</v>
      </c>
      <c r="J4" s="5"/>
      <c r="K4" s="577" t="s">
        <v>420</v>
      </c>
      <c r="L4" s="578"/>
      <c r="M4" s="579" t="s">
        <v>421</v>
      </c>
      <c r="N4" s="580"/>
      <c r="O4" s="581"/>
      <c r="P4" s="582" t="s">
        <v>422</v>
      </c>
      <c r="Q4" s="583" t="s">
        <v>423</v>
      </c>
      <c r="R4" s="581"/>
      <c r="S4" s="581"/>
      <c r="T4" s="582" t="s">
        <v>424</v>
      </c>
      <c r="U4" s="583" t="s">
        <v>425</v>
      </c>
      <c r="V4" s="581"/>
      <c r="W4" s="581"/>
      <c r="X4" s="584" t="s">
        <v>233</v>
      </c>
      <c r="Y4" s="583" t="s">
        <v>426</v>
      </c>
      <c r="Z4" s="581"/>
      <c r="AA4" s="581"/>
      <c r="AB4" s="585" t="s">
        <v>427</v>
      </c>
      <c r="AC4" s="583" t="s">
        <v>428</v>
      </c>
      <c r="AD4" s="581"/>
      <c r="AE4" s="581"/>
      <c r="AF4" s="586" t="s">
        <v>429</v>
      </c>
      <c r="AG4" s="583" t="s">
        <v>430</v>
      </c>
      <c r="AH4" s="581"/>
      <c r="AI4" s="581"/>
      <c r="AJ4" s="586" t="s">
        <v>431</v>
      </c>
      <c r="AK4" s="583" t="s">
        <v>432</v>
      </c>
      <c r="AL4" s="581"/>
      <c r="AM4" s="587"/>
      <c r="AN4" s="588"/>
      <c r="AO4" s="588"/>
      <c r="AP4" s="562"/>
      <c r="AQ4" s="589"/>
      <c r="AR4" s="564"/>
      <c r="AS4" s="188"/>
      <c r="AT4" s="590" t="s">
        <v>433</v>
      </c>
      <c r="AU4" s="591" t="s">
        <v>254</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434</v>
      </c>
      <c r="C5" s="597"/>
      <c r="D5" s="536"/>
      <c r="E5" s="598" t="s">
        <v>435</v>
      </c>
      <c r="F5" s="597"/>
      <c r="G5" s="536"/>
      <c r="H5" s="536"/>
      <c r="I5" s="599" t="b">
        <v>0</v>
      </c>
      <c r="J5" s="5"/>
      <c r="K5" s="600"/>
      <c r="L5" s="601"/>
      <c r="M5" s="602" t="s">
        <v>436</v>
      </c>
      <c r="N5" s="603"/>
      <c r="O5" s="581"/>
      <c r="P5" s="604" t="s">
        <v>437</v>
      </c>
      <c r="Q5" s="583" t="s">
        <v>438</v>
      </c>
      <c r="R5" s="581"/>
      <c r="S5" s="581"/>
      <c r="T5" s="604" t="s">
        <v>439</v>
      </c>
      <c r="U5" s="583" t="s">
        <v>440</v>
      </c>
      <c r="V5" s="581"/>
      <c r="W5" s="581"/>
      <c r="X5" s="604" t="s">
        <v>441</v>
      </c>
      <c r="Y5" s="583" t="s">
        <v>442</v>
      </c>
      <c r="Z5" s="581"/>
      <c r="AA5" s="581"/>
      <c r="AB5" s="604" t="s">
        <v>443</v>
      </c>
      <c r="AC5" s="583" t="s">
        <v>444</v>
      </c>
      <c r="AD5" s="581"/>
      <c r="AE5" s="581"/>
      <c r="AF5" s="604" t="s">
        <v>445</v>
      </c>
      <c r="AG5" s="583" t="s">
        <v>446</v>
      </c>
      <c r="AH5" s="581"/>
      <c r="AI5" s="581"/>
      <c r="AJ5" s="604" t="s">
        <v>447</v>
      </c>
      <c r="AK5" s="583" t="s">
        <v>448</v>
      </c>
      <c r="AL5" s="581"/>
      <c r="AM5" s="587"/>
      <c r="AN5" s="588"/>
      <c r="AO5" s="588"/>
      <c r="AP5" s="562"/>
      <c r="AQ5" s="589"/>
      <c r="AR5" s="564"/>
      <c r="AS5" s="188"/>
      <c r="AT5" s="590" t="s">
        <v>449</v>
      </c>
      <c r="AU5" s="591" t="s">
        <v>255</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46112</v>
      </c>
      <c r="C7" s="620"/>
      <c r="D7" s="536"/>
      <c r="E7" s="621">
        <f>today()+1</f>
        <v>46113</v>
      </c>
      <c r="F7" s="622"/>
      <c r="G7" s="536"/>
      <c r="H7" s="536"/>
      <c r="I7" s="623" t="s">
        <v>450</v>
      </c>
      <c r="J7" s="624" t="s">
        <v>451</v>
      </c>
      <c r="K7" s="625">
        <v>46388.0</v>
      </c>
      <c r="L7" s="626" t="s">
        <v>452</v>
      </c>
      <c r="M7" s="627" t="s">
        <v>453</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2">
        <f t="shared" si="2"/>
        <v>46418</v>
      </c>
      <c r="AS7" s="631" t="s">
        <v>454</v>
      </c>
      <c r="AT7" s="632" t="s">
        <v>455</v>
      </c>
      <c r="AU7" s="633" t="s">
        <v>81</v>
      </c>
      <c r="AV7" s="633" t="s">
        <v>456</v>
      </c>
      <c r="AW7" s="633" t="s">
        <v>457</v>
      </c>
      <c r="AX7" s="633" t="s">
        <v>458</v>
      </c>
      <c r="AY7" s="633" t="s">
        <v>459</v>
      </c>
      <c r="AZ7" s="633" t="s">
        <v>460</v>
      </c>
      <c r="BA7" s="633" t="s">
        <v>82</v>
      </c>
      <c r="BB7" s="634" t="s">
        <v>373</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331</v>
      </c>
      <c r="C8" s="636" t="str">
        <f>TEXT(B7,"ddd")</f>
        <v>火</v>
      </c>
      <c r="D8" s="115"/>
      <c r="E8" s="637" t="s">
        <v>331</v>
      </c>
      <c r="F8" s="638" t="str">
        <f>TEXT(E7,"ddd")</f>
        <v>水</v>
      </c>
      <c r="G8" s="188"/>
      <c r="H8" s="188"/>
      <c r="I8" s="623"/>
      <c r="J8" s="639" t="s">
        <v>461</v>
      </c>
      <c r="K8" s="626" t="s">
        <v>462</v>
      </c>
      <c r="L8" s="640" t="s">
        <v>463</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464</v>
      </c>
      <c r="L9" s="647" t="s">
        <v>465</v>
      </c>
      <c r="M9" s="648" t="s">
        <v>466</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465</v>
      </c>
      <c r="AT9" s="650" t="s">
        <v>465</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467</v>
      </c>
      <c r="L10" s="647" t="s">
        <v>465</v>
      </c>
      <c r="M10" s="648" t="s">
        <v>468</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465</v>
      </c>
      <c r="AT10" s="650" t="s">
        <v>465</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473</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479</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1"/>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1"/>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1"/>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1"/>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481</v>
      </c>
      <c r="L41" s="647" t="s">
        <v>479</v>
      </c>
      <c r="M41" s="648" t="s">
        <v>233</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465</v>
      </c>
      <c r="AT41" s="654" t="s">
        <v>465</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482</v>
      </c>
      <c r="L42" s="647" t="s">
        <v>479</v>
      </c>
      <c r="M42" s="648" t="s">
        <v>427</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465</v>
      </c>
      <c r="AT42" s="654" t="s">
        <v>465</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2" t="s">
        <v>483</v>
      </c>
      <c r="L43" s="669" t="s">
        <v>484</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465</v>
      </c>
      <c r="AT43" s="654" t="s">
        <v>465</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486</v>
      </c>
      <c r="L44" s="647" t="s">
        <v>484</v>
      </c>
      <c r="M44" s="648" t="s">
        <v>485</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465</v>
      </c>
      <c r="AT44" s="654" t="s">
        <v>465</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1"/>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1"/>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1"/>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1"/>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1"/>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1"/>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1"/>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1"/>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1"/>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1"/>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1"/>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1"/>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1"/>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1"/>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1"/>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1"/>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1"/>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505</v>
      </c>
      <c r="C2" s="538"/>
      <c r="D2" s="538"/>
      <c r="E2" s="538"/>
      <c r="F2" s="680" t="s">
        <v>506</v>
      </c>
      <c r="G2" s="681"/>
      <c r="H2" s="220"/>
      <c r="I2" s="220"/>
      <c r="J2" s="220"/>
      <c r="K2" s="220"/>
      <c r="L2" s="220"/>
      <c r="M2" s="220"/>
      <c r="N2" s="220"/>
      <c r="O2" s="220"/>
      <c r="P2" s="220"/>
      <c r="Q2" s="5"/>
      <c r="R2" s="682" t="s">
        <v>507</v>
      </c>
      <c r="S2" s="675"/>
      <c r="T2" s="677"/>
      <c r="U2" s="683"/>
      <c r="V2" s="679"/>
      <c r="W2" s="675"/>
      <c r="X2" s="675"/>
      <c r="Y2" s="675"/>
      <c r="Z2" s="675"/>
    </row>
    <row r="3" ht="33.0" customHeight="1">
      <c r="A3" s="675"/>
      <c r="B3" s="684" t="s">
        <v>508</v>
      </c>
      <c r="C3" s="538"/>
      <c r="D3" s="538"/>
      <c r="E3" s="538"/>
      <c r="F3" s="685" t="s">
        <v>509</v>
      </c>
      <c r="G3" s="681"/>
      <c r="H3" s="220"/>
      <c r="I3" s="220"/>
      <c r="J3" s="220"/>
      <c r="K3" s="220"/>
      <c r="L3" s="220"/>
      <c r="M3" s="220"/>
      <c r="N3" s="220"/>
      <c r="O3" s="220"/>
      <c r="P3" s="220"/>
      <c r="Q3" s="5"/>
      <c r="R3" s="686" t="s">
        <v>507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7" t="s">
        <v>308</v>
      </c>
      <c r="C5" s="688"/>
      <c r="D5" s="689">
        <v>46054.0</v>
      </c>
      <c r="E5" s="688"/>
      <c r="F5" s="690" t="s">
        <v>510</v>
      </c>
      <c r="G5" s="691" t="s">
        <v>511</v>
      </c>
      <c r="H5" s="692"/>
      <c r="I5" s="692"/>
      <c r="J5" s="692"/>
      <c r="K5" s="692"/>
      <c r="L5" s="692"/>
      <c r="M5" s="692"/>
      <c r="N5" s="692"/>
      <c r="O5" s="692"/>
      <c r="P5" s="692"/>
      <c r="Q5" s="114"/>
      <c r="R5" s="693"/>
      <c r="S5" s="675"/>
      <c r="T5" s="677"/>
      <c r="U5" s="678"/>
      <c r="V5" s="694" t="s">
        <v>512</v>
      </c>
      <c r="W5" s="675"/>
      <c r="X5" s="675"/>
      <c r="Y5" s="675"/>
      <c r="Z5" s="675"/>
    </row>
    <row r="6">
      <c r="A6" s="675"/>
      <c r="B6" s="695" t="s">
        <v>513</v>
      </c>
      <c r="C6" s="696" t="s">
        <v>290</v>
      </c>
      <c r="D6" s="696" t="s">
        <v>331</v>
      </c>
      <c r="E6" s="696" t="s">
        <v>514</v>
      </c>
      <c r="F6" s="696" t="s">
        <v>84</v>
      </c>
      <c r="G6" s="697" t="s">
        <v>515</v>
      </c>
      <c r="H6" s="698" t="s">
        <v>37</v>
      </c>
      <c r="I6" s="699" t="s">
        <v>516</v>
      </c>
      <c r="J6" s="699" t="s">
        <v>517</v>
      </c>
      <c r="K6" s="699" t="s">
        <v>518</v>
      </c>
      <c r="L6" s="700" t="s">
        <v>519</v>
      </c>
      <c r="M6" s="701"/>
      <c r="N6" s="702" t="s">
        <v>520</v>
      </c>
      <c r="O6" s="703" t="s">
        <v>521</v>
      </c>
      <c r="P6" s="692"/>
      <c r="Q6" s="114"/>
      <c r="R6" s="704"/>
      <c r="S6" s="705" t="s">
        <v>96</v>
      </c>
      <c r="T6" s="705" t="s">
        <v>97</v>
      </c>
      <c r="U6" s="678"/>
      <c r="V6" s="706" t="s">
        <v>522</v>
      </c>
      <c r="W6" s="707"/>
      <c r="X6" s="708" t="s">
        <v>308</v>
      </c>
      <c r="Y6" s="675"/>
      <c r="Z6" s="675"/>
    </row>
    <row r="7">
      <c r="A7" s="675"/>
      <c r="B7" s="709"/>
      <c r="C7" s="710"/>
      <c r="D7" s="710"/>
      <c r="E7" s="710"/>
      <c r="F7" s="710"/>
      <c r="G7" s="711"/>
      <c r="H7" s="710"/>
      <c r="I7" s="710"/>
      <c r="J7" s="710"/>
      <c r="K7" s="710"/>
      <c r="L7" s="712" t="s">
        <v>523</v>
      </c>
      <c r="M7" s="712" t="s">
        <v>524</v>
      </c>
      <c r="N7" s="710"/>
      <c r="O7" s="713"/>
      <c r="P7" s="714"/>
      <c r="Q7" s="715"/>
      <c r="R7" s="704"/>
      <c r="S7" s="210"/>
      <c r="T7" s="210"/>
      <c r="V7" s="716">
        <f>month(D5)</f>
        <v>2</v>
      </c>
      <c r="W7" s="717"/>
      <c r="X7" s="708" t="s">
        <v>525</v>
      </c>
      <c r="Y7" s="675"/>
      <c r="Z7" s="675"/>
    </row>
    <row r="8" ht="17.25" customHeight="1">
      <c r="A8" s="675"/>
      <c r="B8" s="718" t="s">
        <v>526</v>
      </c>
      <c r="C8" s="719"/>
      <c r="D8" s="719"/>
      <c r="E8" s="719"/>
      <c r="F8" s="720"/>
      <c r="G8" s="721"/>
      <c r="H8" s="722"/>
      <c r="I8" s="722"/>
      <c r="J8" s="723"/>
      <c r="K8" s="723"/>
      <c r="L8" s="724"/>
      <c r="M8" s="724"/>
      <c r="N8" s="725"/>
      <c r="O8" s="726"/>
      <c r="P8" s="726"/>
      <c r="Q8" s="727"/>
      <c r="R8" s="677"/>
      <c r="S8" s="216" t="str">
        <f t="array" ref="S8">IFERROR(INDEX('💻シート作成'!$D$6:$D1001, MATCH(T8, '💻シート作成'!$E$6:$E1001, 0)), "")</f>
        <v/>
      </c>
      <c r="T8" s="167" t="str">
        <f>IFERROR(__xludf.DUMMYFUNCTION("filter('💻シート作成'!E6:E1001,'💻シート作成'!E6:E1001&lt;&gt;"""")"),"💭口コミ")</f>
        <v>💭口コミ</v>
      </c>
      <c r="V8" s="728" t="str">
        <f t="array" ref="V8:V104">xlookup(V7, '🏆皆勤アワード'!P2:DV2,'🏆皆勤アワード'!R4:DX100)</f>
        <v>なし</v>
      </c>
      <c r="W8" s="729"/>
      <c r="X8" s="730">
        <v>46054.0</v>
      </c>
      <c r="Y8" s="675"/>
      <c r="Z8" s="675"/>
    </row>
    <row r="9" outlineLevel="1">
      <c r="A9" s="675"/>
      <c r="B9" s="731"/>
      <c r="C9" s="732">
        <f>D5</f>
        <v>46054</v>
      </c>
      <c r="D9" s="733" t="str">
        <f>TEXT(C9,"ddd")</f>
        <v>日</v>
      </c>
      <c r="E9" s="734"/>
      <c r="F9" s="735" t="s">
        <v>527</v>
      </c>
      <c r="G9" s="736"/>
      <c r="H9" s="737"/>
      <c r="I9" s="738">
        <v>0.0</v>
      </c>
      <c r="J9" s="733"/>
      <c r="K9" s="733"/>
      <c r="L9" s="739"/>
      <c r="M9" s="739"/>
      <c r="N9" s="737"/>
      <c r="O9" s="740"/>
      <c r="Q9" s="741"/>
      <c r="R9" s="677"/>
      <c r="S9" s="216" t="str">
        <f t="array" ref="S9">IFERROR(INDEX('💻シート作成'!$D$6:$D1001, MATCH(T9, '💻シート作成'!$E$6:$E1001, 0)), "")</f>
        <v/>
      </c>
      <c r="T9" s="167" t="str">
        <f>IFERROR(__xludf.DUMMYFUNCTION("""COMPUTED_VALUE"""),"🔵クレーム")</f>
        <v>🔵クレーム</v>
      </c>
      <c r="U9" s="683"/>
      <c r="V9" s="925" t="s">
        <v>591</v>
      </c>
      <c r="W9" s="729"/>
      <c r="X9" s="730">
        <v>46082.0</v>
      </c>
      <c r="Y9" s="675"/>
      <c r="Z9" s="675"/>
    </row>
    <row r="10" outlineLevel="1">
      <c r="B10" s="742"/>
      <c r="C10" s="743"/>
      <c r="D10" s="743"/>
      <c r="E10" s="743"/>
      <c r="F10" s="743"/>
      <c r="G10" s="744"/>
      <c r="H10" s="743"/>
      <c r="I10" s="743"/>
      <c r="J10" s="743"/>
      <c r="K10" s="743"/>
      <c r="L10" s="745"/>
      <c r="M10" s="745"/>
      <c r="N10" s="743"/>
      <c r="O10" s="746"/>
      <c r="Q10" s="741"/>
      <c r="R10" s="675"/>
      <c r="S10" s="216" t="str">
        <f t="array" ref="S10">IFERROR(INDEX('💻シート作成'!$D$6:$D1001, MATCH(T10, '💻シート作成'!$E$6:$E1001, 0)), "")</f>
        <v/>
      </c>
      <c r="T10" s="167" t="str">
        <f>IFERROR(__xludf.DUMMYFUNCTION("""COMPUTED_VALUE"""),"✅安全チェック")</f>
        <v>✅安全チェック</v>
      </c>
      <c r="U10" s="683"/>
      <c r="V10" s="925" t="s">
        <v>592</v>
      </c>
      <c r="W10" s="729"/>
      <c r="X10" s="730">
        <v>46113.0</v>
      </c>
      <c r="Y10" s="675"/>
      <c r="Z10" s="675"/>
    </row>
    <row r="11" outlineLevel="1">
      <c r="B11" s="742"/>
      <c r="C11" s="743"/>
      <c r="D11" s="743"/>
      <c r="E11" s="743"/>
      <c r="F11" s="743"/>
      <c r="G11" s="744"/>
      <c r="H11" s="743"/>
      <c r="I11" s="743"/>
      <c r="J11" s="743"/>
      <c r="K11" s="743"/>
      <c r="L11" s="745"/>
      <c r="M11" s="745"/>
      <c r="N11" s="743"/>
      <c r="O11" s="746"/>
      <c r="Q11" s="741"/>
      <c r="R11" s="675"/>
      <c r="S11" s="216" t="str">
        <f t="array" ref="S11">IFERROR(INDEX('💻シート作成'!$D$6:$D1001, MATCH(T11, '💻シート作成'!$E$6:$E1001, 0)), "")</f>
        <v/>
      </c>
      <c r="T11" s="167" t="str">
        <f>IFERROR(__xludf.DUMMYFUNCTION("""COMPUTED_VALUE"""),"🏨ホテル月報")</f>
        <v>🏨ホテル月報</v>
      </c>
      <c r="U11" s="683"/>
      <c r="V11" s="925" t="s">
        <v>594</v>
      </c>
      <c r="W11" s="729"/>
      <c r="X11" s="730">
        <v>46143.0</v>
      </c>
      <c r="Y11" s="675"/>
      <c r="Z11" s="675"/>
    </row>
    <row r="12" outlineLevel="1">
      <c r="B12" s="742"/>
      <c r="C12" s="743"/>
      <c r="D12" s="743"/>
      <c r="E12" s="743"/>
      <c r="F12" s="743"/>
      <c r="G12" s="744"/>
      <c r="H12" s="743"/>
      <c r="I12" s="743"/>
      <c r="J12" s="743"/>
      <c r="K12" s="743"/>
      <c r="L12" s="745"/>
      <c r="M12" s="745"/>
      <c r="N12" s="743"/>
      <c r="O12" s="746"/>
      <c r="Q12" s="741"/>
      <c r="R12" s="677"/>
      <c r="S12" s="216" t="str">
        <f t="array" ref="S12">IFERROR(INDEX('💻シート作成'!$D$6:$D1001, MATCH(T12, '💻シート作成'!$E$6:$E1001, 0)), "")</f>
        <v>1月</v>
      </c>
      <c r="T12" s="168" t="str">
        <f>IFERROR(__xludf.DUMMYFUNCTION("""COMPUTED_VALUE"""),"①R9_1集計")</f>
        <v>①R9_1集計</v>
      </c>
      <c r="U12" s="683"/>
      <c r="V12" s="925" t="s">
        <v>595</v>
      </c>
      <c r="W12" s="729"/>
      <c r="X12" s="730">
        <v>46174.0</v>
      </c>
      <c r="Y12" s="675"/>
      <c r="Z12" s="675"/>
    </row>
    <row r="13" outlineLevel="1">
      <c r="B13" s="742"/>
      <c r="C13" s="743"/>
      <c r="D13" s="743"/>
      <c r="E13" s="743"/>
      <c r="F13" s="743"/>
      <c r="G13" s="744"/>
      <c r="H13" s="743"/>
      <c r="I13" s="743"/>
      <c r="J13" s="743"/>
      <c r="K13" s="743"/>
      <c r="L13" s="745"/>
      <c r="M13" s="745"/>
      <c r="N13" s="743"/>
      <c r="O13" s="746"/>
      <c r="Q13" s="741"/>
      <c r="R13" s="675"/>
      <c r="S13" s="216" t="str">
        <f t="array" ref="S13">IFERROR(INDEX('💻シート作成'!$D$6:$D1001, MATCH(T13, '💻シート作成'!$E$6:$E1001, 0)), "")</f>
        <v>1月</v>
      </c>
      <c r="T13" s="168" t="str">
        <f>IFERROR(__xludf.DUMMYFUNCTION("""COMPUTED_VALUE"""),"②R9_1シフト")</f>
        <v>②R9_1シフト</v>
      </c>
      <c r="U13" s="683"/>
      <c r="V13" s="925" t="s">
        <v>598</v>
      </c>
      <c r="W13" s="729"/>
      <c r="X13" s="730">
        <v>46204.0</v>
      </c>
      <c r="Y13" s="675"/>
      <c r="Z13" s="675"/>
    </row>
    <row r="14" outlineLevel="1">
      <c r="B14" s="742"/>
      <c r="C14" s="743"/>
      <c r="D14" s="743"/>
      <c r="E14" s="743"/>
      <c r="F14" s="743"/>
      <c r="G14" s="744"/>
      <c r="H14" s="743"/>
      <c r="I14" s="743"/>
      <c r="J14" s="743"/>
      <c r="K14" s="743"/>
      <c r="L14" s="747"/>
      <c r="M14" s="745"/>
      <c r="N14" s="743"/>
      <c r="O14" s="746"/>
      <c r="Q14" s="741"/>
      <c r="R14" s="675"/>
      <c r="S14" s="216" t="str">
        <f t="array" ref="S14">IFERROR(INDEX('💻シート作成'!$D$6:$D1001, MATCH(T14, '💻シート作成'!$E$6:$E1001, 0)), "")</f>
        <v>1月</v>
      </c>
      <c r="T14" s="168" t="str">
        <f>IFERROR(__xludf.DUMMYFUNCTION("""COMPUTED_VALUE"""),"③R9_1日報")</f>
        <v>③R9_1日報</v>
      </c>
      <c r="U14" s="683"/>
      <c r="V14" s="925" t="s">
        <v>599</v>
      </c>
      <c r="W14" s="729"/>
      <c r="X14" s="730">
        <v>46235.0</v>
      </c>
      <c r="Y14" s="675"/>
      <c r="Z14" s="675"/>
    </row>
    <row r="15" outlineLevel="1">
      <c r="B15" s="742"/>
      <c r="C15" s="743"/>
      <c r="D15" s="743"/>
      <c r="E15" s="743"/>
      <c r="F15" s="743"/>
      <c r="G15" s="744"/>
      <c r="H15" s="743"/>
      <c r="I15" s="743"/>
      <c r="J15" s="743"/>
      <c r="K15" s="743"/>
      <c r="L15" s="747"/>
      <c r="M15" s="745"/>
      <c r="N15" s="743"/>
      <c r="O15" s="746"/>
      <c r="Q15" s="741"/>
      <c r="R15" s="675"/>
      <c r="S15" s="216" t="str">
        <f t="array" ref="S15">IFERROR(INDEX('💻シート作成'!$D$6:$D1001, MATCH(T15, '💻シート作成'!$E$6:$E1001, 0)), "")</f>
        <v>1月</v>
      </c>
      <c r="T15" s="168" t="str">
        <f>IFERROR(__xludf.DUMMYFUNCTION("""COMPUTED_VALUE"""),"④R9_1月報")</f>
        <v>④R9_1月報</v>
      </c>
      <c r="U15" s="683"/>
      <c r="V15" s="925" t="s">
        <v>596</v>
      </c>
      <c r="W15" s="729"/>
      <c r="X15" s="730">
        <v>46266.0</v>
      </c>
      <c r="Y15" s="675"/>
      <c r="Z15" s="675"/>
    </row>
    <row r="16" outlineLevel="1">
      <c r="B16" s="742"/>
      <c r="C16" s="743"/>
      <c r="D16" s="743"/>
      <c r="E16" s="743"/>
      <c r="F16" s="743"/>
      <c r="G16" s="744"/>
      <c r="H16" s="743"/>
      <c r="I16" s="743"/>
      <c r="J16" s="743"/>
      <c r="K16" s="743"/>
      <c r="L16" s="747"/>
      <c r="M16" s="745"/>
      <c r="N16" s="743"/>
      <c r="O16" s="746"/>
      <c r="Q16" s="741"/>
      <c r="R16" s="675"/>
      <c r="S16" s="216" t="str">
        <f t="array" ref="S16">IFERROR(INDEX('💻シート作成'!$D$6:$D1001, MATCH(T16, '💻シート作成'!$E$6:$E1001, 0)), "")</f>
        <v>12月</v>
      </c>
      <c r="T16" s="168" t="str">
        <f>IFERROR(__xludf.DUMMYFUNCTION("""COMPUTED_VALUE"""),"①R8_12集計")</f>
        <v>①R8_12集計</v>
      </c>
      <c r="U16" s="683"/>
      <c r="V16" s="925" t="s">
        <v>597</v>
      </c>
      <c r="W16" s="729"/>
      <c r="X16" s="730">
        <v>46296.0</v>
      </c>
      <c r="Y16" s="675"/>
      <c r="Z16" s="675"/>
    </row>
    <row r="17" outlineLevel="1">
      <c r="B17" s="742"/>
      <c r="C17" s="743"/>
      <c r="D17" s="743"/>
      <c r="E17" s="743"/>
      <c r="F17" s="743"/>
      <c r="G17" s="744"/>
      <c r="H17" s="743"/>
      <c r="I17" s="743"/>
      <c r="J17" s="743"/>
      <c r="K17" s="743"/>
      <c r="L17" s="747"/>
      <c r="M17" s="745"/>
      <c r="N17" s="743"/>
      <c r="O17" s="746"/>
      <c r="Q17" s="741"/>
      <c r="R17" s="675"/>
      <c r="S17" s="216" t="str">
        <f t="array" ref="S17">IFERROR(INDEX('💻シート作成'!$D$6:$D1001, MATCH(T17, '💻シート作成'!$E$6:$E1001, 0)), "")</f>
        <v>12月</v>
      </c>
      <c r="T17" s="168" t="str">
        <f>IFERROR(__xludf.DUMMYFUNCTION("""COMPUTED_VALUE"""),"②R8_12シフト")</f>
        <v>②R8_12シフト</v>
      </c>
      <c r="U17" s="683"/>
      <c r="V17" s="925" t="s">
        <v>190</v>
      </c>
      <c r="W17" s="729"/>
      <c r="X17" s="730">
        <v>46327.0</v>
      </c>
      <c r="Y17" s="675"/>
      <c r="Z17" s="675"/>
    </row>
    <row r="18" outlineLevel="1">
      <c r="B18" s="742"/>
      <c r="C18" s="743"/>
      <c r="D18" s="743"/>
      <c r="E18" s="743"/>
      <c r="F18" s="710"/>
      <c r="G18" s="711"/>
      <c r="H18" s="710"/>
      <c r="I18" s="710"/>
      <c r="J18" s="710"/>
      <c r="K18" s="710"/>
      <c r="L18" s="748"/>
      <c r="M18" s="749"/>
      <c r="N18" s="710"/>
      <c r="O18" s="713"/>
      <c r="P18" s="714"/>
      <c r="Q18" s="750"/>
      <c r="R18" s="675"/>
      <c r="S18" s="216" t="str">
        <f t="array" ref="S18">IFERROR(INDEX('💻シート作成'!$D$6:$D1001, MATCH(T18, '💻シート作成'!$E$6:$E1001, 0)), "")</f>
        <v>12月</v>
      </c>
      <c r="T18" s="168" t="str">
        <f>IFERROR(__xludf.DUMMYFUNCTION("""COMPUTED_VALUE"""),"③R8_12日報")</f>
        <v>③R8_12日報</v>
      </c>
      <c r="U18" s="683"/>
      <c r="V18" s="925" t="s">
        <v>639</v>
      </c>
      <c r="W18" s="729"/>
      <c r="X18" s="730">
        <v>46357.0</v>
      </c>
      <c r="Y18" s="675"/>
      <c r="Z18" s="675"/>
    </row>
    <row r="19" outlineLevel="1">
      <c r="B19" s="751"/>
      <c r="C19" s="710"/>
      <c r="D19" s="710"/>
      <c r="E19" s="710"/>
      <c r="F19" s="752" t="s">
        <v>528</v>
      </c>
      <c r="G19" s="753"/>
      <c r="H19" s="754"/>
      <c r="I19" s="754"/>
      <c r="J19" s="754"/>
      <c r="K19" s="754"/>
      <c r="L19" s="753"/>
      <c r="M19" s="753"/>
      <c r="N19" s="753"/>
      <c r="O19" s="753"/>
      <c r="P19" s="753"/>
      <c r="Q19" s="755"/>
      <c r="R19" s="675"/>
      <c r="S19" s="216" t="str">
        <f t="array" ref="S19">IFERROR(INDEX('💻シート作成'!$D$6:$D1001, MATCH(T19, '💻シート作成'!$E$6:$E1001, 0)), "")</f>
        <v>12月</v>
      </c>
      <c r="T19" s="168" t="str">
        <f>IFERROR(__xludf.DUMMYFUNCTION("""COMPUTED_VALUE"""),"④R8_12月報")</f>
        <v>④R8_12月報</v>
      </c>
      <c r="U19" s="683"/>
      <c r="V19" s="925" t="s">
        <v>200</v>
      </c>
      <c r="W19" s="729"/>
      <c r="X19" s="730">
        <v>46388.0</v>
      </c>
      <c r="Y19" s="675"/>
      <c r="Z19" s="675"/>
    </row>
    <row r="20" outlineLevel="1">
      <c r="A20" s="675"/>
      <c r="B20" s="756"/>
      <c r="C20" s="757">
        <f>IF(C9="","",IF(DAY(C9+1)=1,"",C9+1))</f>
        <v>46055</v>
      </c>
      <c r="D20" s="758" t="str">
        <f>TEXT(C20,"ddd")</f>
        <v>月</v>
      </c>
      <c r="E20" s="759"/>
      <c r="F20" s="760" t="s">
        <v>527</v>
      </c>
      <c r="G20" s="761"/>
      <c r="H20" s="762"/>
      <c r="I20" s="763">
        <v>0.0</v>
      </c>
      <c r="J20" s="764"/>
      <c r="K20" s="764"/>
      <c r="L20" s="765"/>
      <c r="M20" s="765"/>
      <c r="N20" s="760"/>
      <c r="O20" s="766"/>
      <c r="Q20" s="741"/>
      <c r="R20" s="675"/>
      <c r="S20" s="216" t="str">
        <f t="array" ref="S20">IFERROR(INDEX('💻シート作成'!$D$6:$D1001, MATCH(T20, '💻シート作成'!$E$6:$E1001, 0)), "")</f>
        <v>11月</v>
      </c>
      <c r="T20" s="168" t="str">
        <f>IFERROR(__xludf.DUMMYFUNCTION("""COMPUTED_VALUE"""),"①R8_11集計")</f>
        <v>①R8_11集計</v>
      </c>
      <c r="U20" s="767"/>
      <c r="V20" s="925" t="s">
        <v>102</v>
      </c>
      <c r="W20" s="729"/>
      <c r="X20" s="730"/>
      <c r="Y20" s="675"/>
      <c r="Z20" s="675"/>
    </row>
    <row r="21" outlineLevel="1">
      <c r="A21" s="675"/>
      <c r="B21" s="742"/>
      <c r="C21" s="743"/>
      <c r="D21" s="743"/>
      <c r="E21" s="743"/>
      <c r="F21" s="743"/>
      <c r="G21" s="744"/>
      <c r="H21" s="743"/>
      <c r="I21" s="743"/>
      <c r="J21" s="743"/>
      <c r="K21" s="743"/>
      <c r="L21" s="768"/>
      <c r="M21" s="768"/>
      <c r="N21" s="743"/>
      <c r="O21" s="746"/>
      <c r="Q21" s="741"/>
      <c r="R21" s="675"/>
      <c r="S21" s="216" t="str">
        <f t="array" ref="S21">IFERROR(INDEX('💻シート作成'!$D$6:$D1001, MATCH(T21, '💻シート作成'!$E$6:$E1001, 0)), "")</f>
        <v>11月</v>
      </c>
      <c r="T21" s="168" t="str">
        <f>IFERROR(__xludf.DUMMYFUNCTION("""COMPUTED_VALUE"""),"②R8_11シフト")</f>
        <v>②R8_11シフト</v>
      </c>
      <c r="U21" s="767"/>
      <c r="V21" s="925" t="s">
        <v>157</v>
      </c>
      <c r="W21" s="729"/>
      <c r="X21" s="730"/>
      <c r="Y21" s="675"/>
      <c r="Z21" s="675"/>
    </row>
    <row r="22" outlineLevel="1">
      <c r="A22" s="675"/>
      <c r="B22" s="742"/>
      <c r="C22" s="743"/>
      <c r="D22" s="743"/>
      <c r="E22" s="743"/>
      <c r="F22" s="743"/>
      <c r="G22" s="744"/>
      <c r="H22" s="743"/>
      <c r="I22" s="743"/>
      <c r="J22" s="743"/>
      <c r="K22" s="743"/>
      <c r="L22" s="768"/>
      <c r="M22" s="768"/>
      <c r="N22" s="743"/>
      <c r="O22" s="746"/>
      <c r="Q22" s="741"/>
      <c r="R22" s="675"/>
      <c r="S22" s="216" t="str">
        <f t="array" ref="S22">IFERROR(INDEX('💻シート作成'!$D$6:$D1001, MATCH(T22, '💻シート作成'!$E$6:$E1001, 0)), "")</f>
        <v>11月</v>
      </c>
      <c r="T22" s="168" t="str">
        <f>IFERROR(__xludf.DUMMYFUNCTION("""COMPUTED_VALUE"""),"③R8_11日報")</f>
        <v>③R8_11日報</v>
      </c>
      <c r="U22" s="767"/>
      <c r="V22" s="925" t="s">
        <v>488</v>
      </c>
      <c r="W22" s="729"/>
      <c r="X22" s="730"/>
      <c r="Y22" s="675"/>
      <c r="Z22" s="675"/>
    </row>
    <row r="23" outlineLevel="1">
      <c r="A23" s="675"/>
      <c r="B23" s="742"/>
      <c r="C23" s="743"/>
      <c r="D23" s="743"/>
      <c r="E23" s="743"/>
      <c r="F23" s="743"/>
      <c r="G23" s="744"/>
      <c r="H23" s="743"/>
      <c r="I23" s="743"/>
      <c r="J23" s="743"/>
      <c r="K23" s="743"/>
      <c r="L23" s="769"/>
      <c r="M23" s="768"/>
      <c r="N23" s="743"/>
      <c r="O23" s="746"/>
      <c r="Q23" s="741"/>
      <c r="R23" s="675"/>
      <c r="S23" s="216" t="str">
        <f t="array" ref="S23">IFERROR(INDEX('💻シート作成'!$D$6:$D1001, MATCH(T23, '💻シート作成'!$E$6:$E1001, 0)), "")</f>
        <v>11月</v>
      </c>
      <c r="T23" s="168" t="str">
        <f>IFERROR(__xludf.DUMMYFUNCTION("""COMPUTED_VALUE"""),"④R8_11月報")</f>
        <v>④R8_11月報</v>
      </c>
      <c r="U23" s="678"/>
      <c r="V23" s="925" t="s">
        <v>197</v>
      </c>
      <c r="W23" s="675"/>
      <c r="X23" s="770"/>
      <c r="Y23" s="675"/>
      <c r="Z23" s="675"/>
    </row>
    <row r="24" outlineLevel="1">
      <c r="A24" s="675"/>
      <c r="B24" s="742"/>
      <c r="C24" s="743"/>
      <c r="D24" s="743"/>
      <c r="E24" s="743"/>
      <c r="F24" s="743"/>
      <c r="G24" s="744"/>
      <c r="H24" s="743"/>
      <c r="I24" s="743"/>
      <c r="J24" s="743"/>
      <c r="K24" s="743"/>
      <c r="L24" s="769"/>
      <c r="M24" s="768"/>
      <c r="N24" s="743"/>
      <c r="O24" s="746"/>
      <c r="Q24" s="741"/>
      <c r="R24" s="675"/>
      <c r="S24" s="216" t="str">
        <f t="array" ref="S24">IFERROR(INDEX('💻シート作成'!$D$6:$D1001, MATCH(T24, '💻シート作成'!$E$6:$E1001, 0)), "")</f>
        <v>10月</v>
      </c>
      <c r="T24" s="168" t="str">
        <f>IFERROR(__xludf.DUMMYFUNCTION("""COMPUTED_VALUE"""),"①R8_10集計")</f>
        <v>①R8_10集計</v>
      </c>
      <c r="U24" s="678"/>
      <c r="V24" s="925" t="s">
        <v>490</v>
      </c>
      <c r="W24" s="675"/>
      <c r="X24" s="770"/>
      <c r="Y24" s="675"/>
      <c r="Z24" s="675"/>
    </row>
    <row r="25" outlineLevel="1">
      <c r="A25" s="675"/>
      <c r="B25" s="742"/>
      <c r="C25" s="743"/>
      <c r="D25" s="743"/>
      <c r="E25" s="743"/>
      <c r="F25" s="743"/>
      <c r="G25" s="744"/>
      <c r="H25" s="743"/>
      <c r="I25" s="743"/>
      <c r="J25" s="743"/>
      <c r="K25" s="743"/>
      <c r="L25" s="769"/>
      <c r="M25" s="768"/>
      <c r="N25" s="743"/>
      <c r="O25" s="746"/>
      <c r="Q25" s="741"/>
      <c r="R25" s="675"/>
      <c r="S25" s="216" t="str">
        <f t="array" ref="S25">IFERROR(INDEX('💻シート作成'!$D$6:$D1001, MATCH(T25, '💻シート作成'!$E$6:$E1001, 0)), "")</f>
        <v>10月</v>
      </c>
      <c r="T25" s="168" t="str">
        <f>IFERROR(__xludf.DUMMYFUNCTION("""COMPUTED_VALUE"""),"②R8_10シフト")</f>
        <v>②R8_10シフト</v>
      </c>
      <c r="U25" s="678"/>
      <c r="V25" s="925" t="s">
        <v>503</v>
      </c>
      <c r="W25" s="675"/>
      <c r="X25" s="770"/>
      <c r="Y25" s="675"/>
      <c r="Z25" s="675"/>
    </row>
    <row r="26" outlineLevel="1">
      <c r="A26" s="675"/>
      <c r="B26" s="742"/>
      <c r="C26" s="743"/>
      <c r="D26" s="743"/>
      <c r="E26" s="743"/>
      <c r="F26" s="743"/>
      <c r="G26" s="744"/>
      <c r="H26" s="743"/>
      <c r="I26" s="743"/>
      <c r="J26" s="743"/>
      <c r="K26" s="743"/>
      <c r="L26" s="769"/>
      <c r="M26" s="768"/>
      <c r="N26" s="743"/>
      <c r="O26" s="746"/>
      <c r="Q26" s="741"/>
      <c r="R26" s="675"/>
      <c r="S26" s="216" t="str">
        <f t="array" ref="S26">IFERROR(INDEX('💻シート作成'!$D$6:$D1001, MATCH(T26, '💻シート作成'!$E$6:$E1001, 0)), "")</f>
        <v>10月</v>
      </c>
      <c r="T26" s="168" t="str">
        <f>IFERROR(__xludf.DUMMYFUNCTION("""COMPUTED_VALUE"""),"③R8_10日報")</f>
        <v>③R8_10日報</v>
      </c>
      <c r="U26" s="678"/>
      <c r="V26" s="925" t="s">
        <v>491</v>
      </c>
      <c r="W26" s="675"/>
      <c r="X26" s="770"/>
      <c r="Y26" s="675"/>
      <c r="Z26" s="675"/>
    </row>
    <row r="27" outlineLevel="1">
      <c r="A27" s="675"/>
      <c r="B27" s="742"/>
      <c r="C27" s="743"/>
      <c r="D27" s="743"/>
      <c r="E27" s="743"/>
      <c r="F27" s="743"/>
      <c r="G27" s="744"/>
      <c r="H27" s="743"/>
      <c r="I27" s="743"/>
      <c r="J27" s="743"/>
      <c r="K27" s="743"/>
      <c r="L27" s="769"/>
      <c r="M27" s="768"/>
      <c r="N27" s="743"/>
      <c r="O27" s="746"/>
      <c r="Q27" s="741"/>
      <c r="R27" s="675"/>
      <c r="S27" s="216" t="str">
        <f t="array" ref="S27">IFERROR(INDEX('💻シート作成'!$D$6:$D1001, MATCH(T27, '💻シート作成'!$E$6:$E1001, 0)), "")</f>
        <v>10月</v>
      </c>
      <c r="T27" s="168" t="str">
        <f>IFERROR(__xludf.DUMMYFUNCTION("""COMPUTED_VALUE"""),"④R8_10月報")</f>
        <v>④R8_10月報</v>
      </c>
      <c r="U27" s="678"/>
      <c r="V27" s="925" t="s">
        <v>196</v>
      </c>
      <c r="W27" s="675"/>
      <c r="X27" s="770"/>
      <c r="Y27" s="675"/>
      <c r="Z27" s="675"/>
    </row>
    <row r="28" outlineLevel="1">
      <c r="A28" s="675"/>
      <c r="B28" s="742"/>
      <c r="C28" s="743"/>
      <c r="D28" s="743"/>
      <c r="E28" s="743"/>
      <c r="F28" s="743"/>
      <c r="G28" s="744"/>
      <c r="H28" s="743"/>
      <c r="I28" s="743"/>
      <c r="J28" s="743"/>
      <c r="K28" s="743"/>
      <c r="L28" s="769"/>
      <c r="M28" s="768"/>
      <c r="N28" s="743"/>
      <c r="O28" s="746"/>
      <c r="Q28" s="741"/>
      <c r="R28" s="675"/>
      <c r="S28" s="216" t="str">
        <f t="array" ref="S28">IFERROR(INDEX('💻シート作成'!$D$6:$D1001, MATCH(T28, '💻シート作成'!$E$6:$E1001, 0)), "")</f>
        <v>9月</v>
      </c>
      <c r="T28" s="168" t="str">
        <f>IFERROR(__xludf.DUMMYFUNCTION("""COMPUTED_VALUE"""),"①R8_9集計")</f>
        <v>①R8_9集計</v>
      </c>
      <c r="U28" s="678"/>
      <c r="V28" s="925" t="s">
        <v>587</v>
      </c>
      <c r="W28" s="675"/>
      <c r="X28" s="770"/>
      <c r="Y28" s="675"/>
      <c r="Z28" s="675"/>
    </row>
    <row r="29" outlineLevel="1">
      <c r="A29" s="675"/>
      <c r="B29" s="742"/>
      <c r="C29" s="743"/>
      <c r="D29" s="743"/>
      <c r="E29" s="743"/>
      <c r="F29" s="710"/>
      <c r="G29" s="711"/>
      <c r="H29" s="710"/>
      <c r="I29" s="710"/>
      <c r="J29" s="710"/>
      <c r="K29" s="710"/>
      <c r="L29" s="769"/>
      <c r="M29" s="768"/>
      <c r="N29" s="710"/>
      <c r="O29" s="713"/>
      <c r="P29" s="714"/>
      <c r="Q29" s="750"/>
      <c r="R29" s="675"/>
      <c r="S29" s="216" t="str">
        <f t="array" ref="S29">IFERROR(INDEX('💻シート作成'!$D$6:$D1001, MATCH(T29, '💻シート作成'!$E$6:$E1001, 0)), "")</f>
        <v>9月</v>
      </c>
      <c r="T29" s="168" t="str">
        <f>IFERROR(__xludf.DUMMYFUNCTION("""COMPUTED_VALUE"""),"②R8_9シフト")</f>
        <v>②R8_9シフト</v>
      </c>
      <c r="U29" s="678"/>
      <c r="V29" s="925" t="s">
        <v>640</v>
      </c>
      <c r="W29" s="675"/>
      <c r="X29" s="770"/>
      <c r="Y29" s="675"/>
      <c r="Z29" s="675"/>
    </row>
    <row r="30" outlineLevel="1">
      <c r="A30" s="675"/>
      <c r="B30" s="751"/>
      <c r="C30" s="710"/>
      <c r="D30" s="710"/>
      <c r="E30" s="710"/>
      <c r="F30" s="771" t="s">
        <v>528</v>
      </c>
      <c r="G30" s="772"/>
      <c r="H30" s="754"/>
      <c r="I30" s="754"/>
      <c r="J30" s="754"/>
      <c r="K30" s="754"/>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925" t="s">
        <v>492</v>
      </c>
      <c r="W30" s="675"/>
      <c r="X30" s="770"/>
      <c r="Y30" s="675"/>
      <c r="Z30" s="675"/>
    </row>
    <row r="31" outlineLevel="1">
      <c r="A31" s="675"/>
      <c r="B31" s="774"/>
      <c r="C31" s="775">
        <f>IF(C20="","",IF(DAY(C20+1)=1,"",C20+1))</f>
        <v>46056</v>
      </c>
      <c r="D31" s="776" t="str">
        <f>TEXT(C31,"ddd")</f>
        <v>火</v>
      </c>
      <c r="E31" s="777"/>
      <c r="F31" s="778" t="s">
        <v>527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925" t="s">
        <v>103</v>
      </c>
      <c r="W31" s="675"/>
      <c r="X31" s="770"/>
      <c r="Y31" s="675"/>
      <c r="Z31" s="675"/>
    </row>
    <row r="32" outlineLevel="1">
      <c r="A32" s="675"/>
      <c r="B32" s="742"/>
      <c r="C32" s="743"/>
      <c r="D32" s="743"/>
      <c r="E32" s="743"/>
      <c r="F32" s="743"/>
      <c r="G32" s="744"/>
      <c r="H32" s="743"/>
      <c r="I32" s="743"/>
      <c r="J32" s="743"/>
      <c r="K32" s="743"/>
      <c r="L32" s="782"/>
      <c r="M32" s="782"/>
      <c r="N32" s="743"/>
      <c r="O32" s="746"/>
      <c r="Q32" s="741"/>
      <c r="R32" s="675"/>
      <c r="S32" s="216" t="str">
        <f t="array" ref="S32">IFERROR(INDEX('💻シート作成'!$D$6:$D1001, MATCH(T32, '💻シート作成'!$E$6:$E1001, 0)), "")</f>
        <v>8月</v>
      </c>
      <c r="T32" s="168" t="str">
        <f>IFERROR(__xludf.DUMMYFUNCTION("""COMPUTED_VALUE"""),"①R8_8集計")</f>
        <v>①R8_8集計</v>
      </c>
      <c r="U32" s="678"/>
      <c r="V32" s="925" t="s">
        <v>137</v>
      </c>
      <c r="W32" s="675"/>
      <c r="X32" s="770"/>
      <c r="Y32" s="675"/>
      <c r="Z32" s="675"/>
    </row>
    <row r="33" outlineLevel="1">
      <c r="A33" s="675"/>
      <c r="B33" s="742"/>
      <c r="C33" s="743"/>
      <c r="D33" s="743"/>
      <c r="E33" s="743"/>
      <c r="F33" s="743"/>
      <c r="G33" s="744"/>
      <c r="H33" s="743"/>
      <c r="I33" s="743"/>
      <c r="J33" s="743"/>
      <c r="K33" s="743"/>
      <c r="L33" s="782"/>
      <c r="M33" s="782"/>
      <c r="N33" s="743"/>
      <c r="O33" s="746"/>
      <c r="Q33" s="741"/>
      <c r="R33" s="675"/>
      <c r="S33" s="216" t="str">
        <f t="array" ref="S33">IFERROR(INDEX('💻シート作成'!$D$6:$D1001, MATCH(T33, '💻シート作成'!$E$6:$E1001, 0)), "")</f>
        <v>8月</v>
      </c>
      <c r="T33" s="168" t="str">
        <f>IFERROR(__xludf.DUMMYFUNCTION("""COMPUTED_VALUE"""),"②R8_8シフト")</f>
        <v>②R8_8シフト</v>
      </c>
      <c r="U33" s="678"/>
      <c r="V33" s="925" t="s">
        <v>495</v>
      </c>
      <c r="W33" s="675"/>
      <c r="X33" s="770"/>
      <c r="Y33" s="675"/>
      <c r="Z33" s="675"/>
    </row>
    <row r="34" outlineLevel="1">
      <c r="A34" s="675"/>
      <c r="B34" s="742"/>
      <c r="C34" s="743"/>
      <c r="D34" s="743"/>
      <c r="E34" s="743"/>
      <c r="F34" s="743"/>
      <c r="G34" s="744"/>
      <c r="H34" s="743"/>
      <c r="I34" s="743"/>
      <c r="J34" s="743"/>
      <c r="K34" s="743"/>
      <c r="L34" s="786"/>
      <c r="M34" s="782"/>
      <c r="N34" s="743"/>
      <c r="O34" s="746"/>
      <c r="Q34" s="741"/>
      <c r="R34" s="675"/>
      <c r="S34" s="216" t="str">
        <f t="array" ref="S34">IFERROR(INDEX('💻シート作成'!$D$6:$D1001, MATCH(T34, '💻シート作成'!$E$6:$E1001, 0)), "")</f>
        <v>8月</v>
      </c>
      <c r="T34" s="168" t="str">
        <f>IFERROR(__xludf.DUMMYFUNCTION("""COMPUTED_VALUE"""),"③R8_8日報")</f>
        <v>③R8_8日報</v>
      </c>
      <c r="U34" s="678"/>
      <c r="V34" s="925" t="s">
        <v>497</v>
      </c>
      <c r="W34" s="675"/>
      <c r="X34" s="770"/>
      <c r="Y34" s="675"/>
      <c r="Z34" s="675"/>
    </row>
    <row r="35" outlineLevel="1">
      <c r="A35" s="675"/>
      <c r="B35" s="742"/>
      <c r="C35" s="743"/>
      <c r="D35" s="743"/>
      <c r="E35" s="743"/>
      <c r="F35" s="743"/>
      <c r="G35" s="744"/>
      <c r="H35" s="743"/>
      <c r="I35" s="743"/>
      <c r="J35" s="743"/>
      <c r="K35" s="743"/>
      <c r="L35" s="786"/>
      <c r="M35" s="782"/>
      <c r="N35" s="743"/>
      <c r="O35" s="746"/>
      <c r="Q35" s="741"/>
      <c r="R35" s="675"/>
      <c r="S35" s="216" t="str">
        <f t="array" ref="S35">IFERROR(INDEX('💻シート作成'!$D$6:$D1001, MATCH(T35, '💻シート作成'!$E$6:$E1001, 0)), "")</f>
        <v>8月</v>
      </c>
      <c r="T35" s="168" t="str">
        <f>IFERROR(__xludf.DUMMYFUNCTION("""COMPUTED_VALUE"""),"④R8_8月報")</f>
        <v>④R8_8月報</v>
      </c>
      <c r="U35" s="678"/>
      <c r="V35" s="925" t="s">
        <v>498</v>
      </c>
      <c r="W35" s="675"/>
      <c r="X35" s="770"/>
      <c r="Y35" s="675"/>
      <c r="Z35" s="675"/>
    </row>
    <row r="36" outlineLevel="1">
      <c r="A36" s="675"/>
      <c r="B36" s="742"/>
      <c r="C36" s="743"/>
      <c r="D36" s="743"/>
      <c r="E36" s="743"/>
      <c r="F36" s="743"/>
      <c r="G36" s="744"/>
      <c r="H36" s="743"/>
      <c r="I36" s="743"/>
      <c r="J36" s="743"/>
      <c r="K36" s="743"/>
      <c r="L36" s="786"/>
      <c r="M36" s="782"/>
      <c r="N36" s="743"/>
      <c r="O36" s="746"/>
      <c r="Q36" s="741"/>
      <c r="R36" s="675"/>
      <c r="S36" s="216" t="str">
        <f t="array" ref="S36">IFERROR(INDEX('💻シート作成'!$D$6:$D1001, MATCH(T36, '💻シート作成'!$E$6:$E1001, 0)), "")</f>
        <v>7月</v>
      </c>
      <c r="T36" s="168" t="str">
        <f>IFERROR(__xludf.DUMMYFUNCTION("""COMPUTED_VALUE"""),"①R8_7集計")</f>
        <v>①R8_7集計</v>
      </c>
      <c r="U36" s="678"/>
      <c r="V36" s="925" t="s">
        <v>499</v>
      </c>
      <c r="W36" s="675"/>
      <c r="X36" s="770"/>
      <c r="Y36" s="675"/>
      <c r="Z36" s="675"/>
    </row>
    <row r="37" outlineLevel="1">
      <c r="A37" s="675"/>
      <c r="B37" s="742"/>
      <c r="C37" s="743"/>
      <c r="D37" s="743"/>
      <c r="E37" s="743"/>
      <c r="F37" s="743"/>
      <c r="G37" s="744"/>
      <c r="H37" s="743"/>
      <c r="I37" s="743"/>
      <c r="J37" s="743"/>
      <c r="K37" s="743"/>
      <c r="L37" s="786"/>
      <c r="M37" s="782"/>
      <c r="N37" s="743"/>
      <c r="O37" s="746"/>
      <c r="Q37" s="741"/>
      <c r="R37" s="675"/>
      <c r="S37" s="216" t="str">
        <f t="array" ref="S37">IFERROR(INDEX('💻シート作成'!$D$6:$D1001, MATCH(T37, '💻シート作成'!$E$6:$E1001, 0)), "")</f>
        <v>7月</v>
      </c>
      <c r="T37" s="168" t="str">
        <f>IFERROR(__xludf.DUMMYFUNCTION("""COMPUTED_VALUE"""),"②R8_7シフト")</f>
        <v>②R8_7シフト</v>
      </c>
      <c r="U37" s="678"/>
      <c r="V37" s="925" t="s">
        <v>584</v>
      </c>
      <c r="W37" s="675"/>
      <c r="X37" s="770"/>
      <c r="Y37" s="675"/>
      <c r="Z37" s="675"/>
    </row>
    <row r="38" outlineLevel="1">
      <c r="A38" s="675"/>
      <c r="B38" s="742"/>
      <c r="C38" s="743"/>
      <c r="D38" s="743"/>
      <c r="E38" s="743"/>
      <c r="F38" s="743"/>
      <c r="G38" s="744"/>
      <c r="H38" s="743"/>
      <c r="I38" s="743"/>
      <c r="J38" s="743"/>
      <c r="K38" s="743"/>
      <c r="L38" s="786"/>
      <c r="M38" s="782"/>
      <c r="N38" s="743"/>
      <c r="O38" s="746"/>
      <c r="Q38" s="741"/>
      <c r="R38" s="675"/>
      <c r="S38" s="216" t="str">
        <f t="array" ref="S38">IFERROR(INDEX('💻シート作成'!$D$6:$D1001, MATCH(T38, '💻シート作成'!$E$6:$E1001, 0)), "")</f>
        <v>7月</v>
      </c>
      <c r="T38" s="168" t="str">
        <f>IFERROR(__xludf.DUMMYFUNCTION("""COMPUTED_VALUE"""),"③R8_7日報")</f>
        <v>③R8_7日報</v>
      </c>
      <c r="U38" s="678"/>
      <c r="V38" s="925" t="s">
        <v>204</v>
      </c>
      <c r="W38" s="675"/>
      <c r="X38" s="770"/>
      <c r="Y38" s="675"/>
      <c r="Z38" s="675"/>
    </row>
    <row r="39" outlineLevel="1">
      <c r="A39" s="675"/>
      <c r="B39" s="742"/>
      <c r="C39" s="743"/>
      <c r="D39" s="743"/>
      <c r="E39" s="743"/>
      <c r="F39" s="743"/>
      <c r="G39" s="744"/>
      <c r="H39" s="743"/>
      <c r="I39" s="743"/>
      <c r="J39" s="743"/>
      <c r="K39" s="743"/>
      <c r="L39" s="786"/>
      <c r="M39" s="782"/>
      <c r="N39" s="743"/>
      <c r="O39" s="746"/>
      <c r="Q39" s="741"/>
      <c r="R39" s="675"/>
      <c r="S39" s="216" t="str">
        <f t="array" ref="S39">IFERROR(INDEX('💻シート作成'!$D$6:$D1001, MATCH(T39, '💻シート作成'!$E$6:$E1001, 0)), "")</f>
        <v>7月</v>
      </c>
      <c r="T39" s="168" t="str">
        <f>IFERROR(__xludf.DUMMYFUNCTION("""COMPUTED_VALUE"""),"④R8_7月報")</f>
        <v>④R8_7月報</v>
      </c>
      <c r="U39" s="678"/>
      <c r="V39" s="925" t="s">
        <v>136</v>
      </c>
      <c r="W39" s="675"/>
      <c r="X39" s="770"/>
      <c r="Y39" s="675"/>
      <c r="Z39" s="675"/>
    </row>
    <row r="40" outlineLevel="1">
      <c r="A40" s="675"/>
      <c r="B40" s="742"/>
      <c r="C40" s="743"/>
      <c r="D40" s="743"/>
      <c r="E40" s="743"/>
      <c r="F40" s="710"/>
      <c r="G40" s="711"/>
      <c r="H40" s="710"/>
      <c r="I40" s="710"/>
      <c r="J40" s="710"/>
      <c r="K40" s="710"/>
      <c r="L40" s="786"/>
      <c r="M40" s="782"/>
      <c r="N40" s="710"/>
      <c r="O40" s="713"/>
      <c r="P40" s="714"/>
      <c r="Q40" s="750"/>
      <c r="R40" s="675"/>
      <c r="S40" s="216" t="str">
        <f t="array" ref="S40">IFERROR(INDEX('💻シート作成'!$D$6:$D1001, MATCH(T40, '💻シート作成'!$E$6:$E1001, 0)), "")</f>
        <v>6月</v>
      </c>
      <c r="T40" s="168" t="str">
        <f>IFERROR(__xludf.DUMMYFUNCTION("""COMPUTED_VALUE"""),"①R8_6集計")</f>
        <v>①R8_6集計</v>
      </c>
      <c r="U40" s="678"/>
      <c r="V40" s="728" t="s">
        <v>586</v>
      </c>
      <c r="W40" s="675"/>
      <c r="X40" s="770"/>
      <c r="Y40" s="675"/>
      <c r="Z40" s="675"/>
    </row>
    <row r="41" outlineLevel="1">
      <c r="A41" s="675"/>
      <c r="B41" s="751"/>
      <c r="C41" s="710"/>
      <c r="D41" s="710"/>
      <c r="E41" s="710"/>
      <c r="F41" s="752" t="s">
        <v>528</v>
      </c>
      <c r="G41" s="753"/>
      <c r="H41" s="754"/>
      <c r="I41" s="754"/>
      <c r="J41" s="754"/>
      <c r="K41" s="754"/>
      <c r="L41" s="753"/>
      <c r="M41" s="753"/>
      <c r="N41" s="753"/>
      <c r="O41" s="753"/>
      <c r="P41" s="753"/>
      <c r="Q41" s="755"/>
      <c r="R41" s="675"/>
      <c r="S41" s="216" t="str">
        <f t="array" ref="S41">IFERROR(INDEX('💻シート作成'!$D$6:$D1001, MATCH(T41, '💻シート作成'!$E$6:$E1001, 0)), "")</f>
        <v>6月</v>
      </c>
      <c r="T41" s="168" t="str">
        <f>IFERROR(__xludf.DUMMYFUNCTION("""COMPUTED_VALUE"""),"②R8_6シフト")</f>
        <v>②R8_6シフト</v>
      </c>
      <c r="U41" s="678"/>
      <c r="V41" s="728" t="s">
        <v>478</v>
      </c>
      <c r="W41" s="675"/>
      <c r="X41" s="770"/>
      <c r="Y41" s="675"/>
      <c r="Z41" s="675"/>
    </row>
    <row r="42" outlineLevel="1">
      <c r="A42" s="675"/>
      <c r="B42" s="756"/>
      <c r="C42" s="757">
        <f>IF(C31="","",IF(DAY(C31+1)=1,"",C31+1))</f>
        <v>46057</v>
      </c>
      <c r="D42" s="758" t="str">
        <f>TEXT(C42,"ddd")</f>
        <v>水</v>
      </c>
      <c r="E42" s="759"/>
      <c r="F42" s="787" t="s">
        <v>527</v>
      </c>
      <c r="G42" s="788"/>
      <c r="H42" s="789"/>
      <c r="I42" s="790">
        <v>0.0</v>
      </c>
      <c r="J42" s="758"/>
      <c r="K42" s="758"/>
      <c r="L42" s="768"/>
      <c r="M42" s="768"/>
      <c r="N42" s="787"/>
      <c r="O42" s="791"/>
      <c r="P42" s="784"/>
      <c r="Q42" s="785"/>
      <c r="R42" s="675"/>
      <c r="S42" s="216" t="str">
        <f t="array" ref="S42">IFERROR(INDEX('💻シート作成'!$D$6:$D1001, MATCH(T42, '💻シート作成'!$E$6:$E1001, 0)), "")</f>
        <v>6月</v>
      </c>
      <c r="T42" s="168" t="str">
        <f>IFERROR(__xludf.DUMMYFUNCTION("""COMPUTED_VALUE"""),"③R8_6日報")</f>
        <v>③R8_6日報</v>
      </c>
      <c r="U42" s="678"/>
      <c r="V42" s="728"/>
      <c r="W42" s="675"/>
      <c r="X42" s="770"/>
      <c r="Y42" s="675"/>
      <c r="Z42" s="675"/>
    </row>
    <row r="43" outlineLevel="1">
      <c r="A43" s="675"/>
      <c r="B43" s="742"/>
      <c r="C43" s="743"/>
      <c r="D43" s="743"/>
      <c r="E43" s="743"/>
      <c r="F43" s="743"/>
      <c r="G43" s="744"/>
      <c r="H43" s="743"/>
      <c r="I43" s="743"/>
      <c r="J43" s="743"/>
      <c r="K43" s="743"/>
      <c r="L43" s="768"/>
      <c r="M43" s="768"/>
      <c r="N43" s="743"/>
      <c r="O43" s="746"/>
      <c r="Q43" s="741"/>
      <c r="R43" s="675"/>
      <c r="S43" s="216" t="str">
        <f t="array" ref="S43">IFERROR(INDEX('💻シート作成'!$D$6:$D1001, MATCH(T43, '💻シート作成'!$E$6:$E1001, 0)), "")</f>
        <v>6月</v>
      </c>
      <c r="T43" s="168" t="str">
        <f>IFERROR(__xludf.DUMMYFUNCTION("""COMPUTED_VALUE"""),"④R8_6月報")</f>
        <v>④R8_6月報</v>
      </c>
      <c r="U43" s="678"/>
      <c r="V43" s="728"/>
      <c r="W43" s="675"/>
      <c r="X43" s="770"/>
      <c r="Y43" s="675"/>
      <c r="Z43" s="675"/>
    </row>
    <row r="44" outlineLevel="1">
      <c r="A44" s="675"/>
      <c r="B44" s="742"/>
      <c r="C44" s="743"/>
      <c r="D44" s="743"/>
      <c r="E44" s="743"/>
      <c r="F44" s="743"/>
      <c r="G44" s="744"/>
      <c r="H44" s="743"/>
      <c r="I44" s="743"/>
      <c r="J44" s="743"/>
      <c r="K44" s="743"/>
      <c r="L44" s="768"/>
      <c r="M44" s="768"/>
      <c r="N44" s="743"/>
      <c r="O44" s="746"/>
      <c r="Q44" s="741"/>
      <c r="R44" s="675"/>
      <c r="S44" s="216" t="str">
        <f t="array" ref="S44">IFERROR(INDEX('💻シート作成'!$D$6:$D1001, MATCH(T44, '💻シート作成'!$E$6:$E1001, 0)), "")</f>
        <v>5月</v>
      </c>
      <c r="T44" s="168" t="str">
        <f>IFERROR(__xludf.DUMMYFUNCTION("""COMPUTED_VALUE"""),"①R8_5集計")</f>
        <v>①R8_5集計</v>
      </c>
      <c r="U44" s="678"/>
      <c r="V44" s="728"/>
      <c r="W44" s="675"/>
      <c r="X44" s="770"/>
      <c r="Y44" s="675"/>
      <c r="Z44" s="675"/>
    </row>
    <row r="45" outlineLevel="1">
      <c r="A45" s="675"/>
      <c r="B45" s="742"/>
      <c r="C45" s="743"/>
      <c r="D45" s="743"/>
      <c r="E45" s="743"/>
      <c r="F45" s="743"/>
      <c r="G45" s="744"/>
      <c r="H45" s="743"/>
      <c r="I45" s="743"/>
      <c r="J45" s="743"/>
      <c r="K45" s="743"/>
      <c r="L45" s="769"/>
      <c r="M45" s="768"/>
      <c r="N45" s="743"/>
      <c r="O45" s="746"/>
      <c r="Q45" s="741"/>
      <c r="R45" s="675"/>
      <c r="S45" s="216" t="str">
        <f t="array" ref="S45">IFERROR(INDEX('💻シート作成'!$D$6:$D1001, MATCH(T45, '💻シート作成'!$E$6:$E1001, 0)), "")</f>
        <v>5月</v>
      </c>
      <c r="T45" s="168" t="str">
        <f>IFERROR(__xludf.DUMMYFUNCTION("""COMPUTED_VALUE"""),"②R8_5シフト")</f>
        <v>②R8_5シフト</v>
      </c>
      <c r="U45" s="678"/>
      <c r="V45" s="728"/>
      <c r="W45" s="675"/>
      <c r="X45" s="770"/>
      <c r="Y45" s="675"/>
      <c r="Z45" s="675"/>
    </row>
    <row r="46" outlineLevel="1">
      <c r="A46" s="675"/>
      <c r="B46" s="742"/>
      <c r="C46" s="743"/>
      <c r="D46" s="743"/>
      <c r="E46" s="743"/>
      <c r="F46" s="743"/>
      <c r="G46" s="744"/>
      <c r="H46" s="743"/>
      <c r="I46" s="743"/>
      <c r="J46" s="743"/>
      <c r="K46" s="743"/>
      <c r="L46" s="769"/>
      <c r="M46" s="768"/>
      <c r="N46" s="743"/>
      <c r="O46" s="746"/>
      <c r="Q46" s="741"/>
      <c r="R46" s="675"/>
      <c r="S46" s="216" t="str">
        <f t="array" ref="S46">IFERROR(INDEX('💻シート作成'!$D$6:$D1001, MATCH(T46, '💻シート作成'!$E$6:$E1001, 0)), "")</f>
        <v>5月</v>
      </c>
      <c r="T46" s="168" t="str">
        <f>IFERROR(__xludf.DUMMYFUNCTION("""COMPUTED_VALUE"""),"③R8_5日報")</f>
        <v>③R8_5日報</v>
      </c>
      <c r="U46" s="678"/>
      <c r="V46" s="728"/>
      <c r="W46" s="675"/>
      <c r="X46" s="770"/>
      <c r="Y46" s="675"/>
      <c r="Z46" s="675"/>
    </row>
    <row r="47" outlineLevel="1">
      <c r="A47" s="675"/>
      <c r="B47" s="742"/>
      <c r="C47" s="743"/>
      <c r="D47" s="743"/>
      <c r="E47" s="743"/>
      <c r="F47" s="743"/>
      <c r="G47" s="744"/>
      <c r="H47" s="743"/>
      <c r="I47" s="743"/>
      <c r="J47" s="743"/>
      <c r="K47" s="743"/>
      <c r="L47" s="769"/>
      <c r="M47" s="768"/>
      <c r="N47" s="743"/>
      <c r="O47" s="746"/>
      <c r="Q47" s="741"/>
      <c r="R47" s="675"/>
      <c r="S47" s="216" t="str">
        <f t="array" ref="S47">IFERROR(INDEX('💻シート作成'!$D$6:$D1001, MATCH(T47, '💻シート作成'!$E$6:$E1001, 0)), "")</f>
        <v>5月</v>
      </c>
      <c r="T47" s="168" t="str">
        <f>IFERROR(__xludf.DUMMYFUNCTION("""COMPUTED_VALUE"""),"④R8_5月報")</f>
        <v>④R8_5月報</v>
      </c>
      <c r="U47" s="678"/>
      <c r="V47" s="728"/>
      <c r="W47" s="675"/>
      <c r="X47" s="770"/>
      <c r="Y47" s="675"/>
      <c r="Z47" s="675"/>
    </row>
    <row r="48" outlineLevel="1">
      <c r="A48" s="675"/>
      <c r="B48" s="742"/>
      <c r="C48" s="743"/>
      <c r="D48" s="743"/>
      <c r="E48" s="743"/>
      <c r="F48" s="743"/>
      <c r="G48" s="744"/>
      <c r="H48" s="743"/>
      <c r="I48" s="743"/>
      <c r="J48" s="743"/>
      <c r="K48" s="743"/>
      <c r="L48" s="769"/>
      <c r="M48" s="768"/>
      <c r="N48" s="743"/>
      <c r="O48" s="746"/>
      <c r="Q48" s="741"/>
      <c r="R48" s="675"/>
      <c r="S48" s="216" t="str">
        <f t="array" ref="S48">IFERROR(INDEX('💻シート作成'!$D$6:$D1001, MATCH(T48, '💻シート作成'!$E$6:$E1001, 0)), "")</f>
        <v>4月</v>
      </c>
      <c r="T48" s="167" t="str">
        <f>IFERROR(__xludf.DUMMYFUNCTION("""COMPUTED_VALUE"""),"①R8_4集計")</f>
        <v>①R8_4集計</v>
      </c>
      <c r="U48" s="678"/>
      <c r="V48" s="728"/>
      <c r="W48" s="675"/>
      <c r="X48" s="770"/>
      <c r="Y48" s="675"/>
      <c r="Z48" s="675"/>
    </row>
    <row r="49" outlineLevel="1">
      <c r="A49" s="675"/>
      <c r="B49" s="742"/>
      <c r="C49" s="743"/>
      <c r="D49" s="743"/>
      <c r="E49" s="743"/>
      <c r="F49" s="743"/>
      <c r="G49" s="744"/>
      <c r="H49" s="743"/>
      <c r="I49" s="743"/>
      <c r="J49" s="743"/>
      <c r="K49" s="743"/>
      <c r="L49" s="769"/>
      <c r="M49" s="768"/>
      <c r="N49" s="743"/>
      <c r="O49" s="746"/>
      <c r="Q49" s="741"/>
      <c r="R49" s="675"/>
      <c r="S49" s="216" t="str">
        <f t="array" ref="S49">IFERROR(INDEX('💻シート作成'!$D$6:$D1001, MATCH(T49, '💻シート作成'!$E$6:$E1001, 0)), "")</f>
        <v>4月</v>
      </c>
      <c r="T49" s="167" t="str">
        <f>IFERROR(__xludf.DUMMYFUNCTION("""COMPUTED_VALUE"""),"②R8_4シフト")</f>
        <v>②R8_4シフト</v>
      </c>
      <c r="U49" s="678"/>
      <c r="V49" s="728"/>
      <c r="W49" s="675"/>
      <c r="X49" s="770"/>
      <c r="Y49" s="675"/>
      <c r="Z49" s="675"/>
    </row>
    <row r="50" outlineLevel="1">
      <c r="A50" s="675"/>
      <c r="B50" s="742"/>
      <c r="C50" s="743"/>
      <c r="D50" s="743"/>
      <c r="E50" s="743"/>
      <c r="F50" s="743"/>
      <c r="G50" s="744"/>
      <c r="H50" s="743"/>
      <c r="I50" s="743"/>
      <c r="J50" s="743"/>
      <c r="K50" s="743"/>
      <c r="L50" s="769"/>
      <c r="M50" s="768"/>
      <c r="N50" s="743"/>
      <c r="O50" s="746"/>
      <c r="Q50" s="741"/>
      <c r="R50" s="675"/>
      <c r="S50" s="216" t="str">
        <f t="array" ref="S50">IFERROR(INDEX('💻シート作成'!$D$6:$D1001, MATCH(T50, '💻シート作成'!$E$6:$E1001, 0)), "")</f>
        <v>4月</v>
      </c>
      <c r="T50" s="167" t="str">
        <f>IFERROR(__xludf.DUMMYFUNCTION("""COMPUTED_VALUE"""),"③R8_4日報")</f>
        <v>③R8_4日報</v>
      </c>
      <c r="U50" s="678"/>
      <c r="V50" s="728"/>
      <c r="W50" s="675"/>
      <c r="X50" s="770"/>
      <c r="Y50" s="675"/>
      <c r="Z50" s="675"/>
    </row>
    <row r="51" outlineLevel="1">
      <c r="A51" s="675"/>
      <c r="B51" s="742"/>
      <c r="C51" s="743"/>
      <c r="D51" s="743"/>
      <c r="E51" s="743"/>
      <c r="F51" s="710"/>
      <c r="G51" s="711"/>
      <c r="H51" s="710"/>
      <c r="I51" s="710"/>
      <c r="J51" s="710"/>
      <c r="K51" s="710"/>
      <c r="L51" s="769"/>
      <c r="M51" s="768"/>
      <c r="N51" s="710"/>
      <c r="O51" s="713"/>
      <c r="P51" s="714"/>
      <c r="Q51" s="750"/>
      <c r="R51" s="675"/>
      <c r="S51" s="216" t="str">
        <f t="array" ref="S51">IFERROR(INDEX('💻シート作成'!$D$6:$D1001, MATCH(T51, '💻シート作成'!$E$6:$E1001, 0)), "")</f>
        <v>4月</v>
      </c>
      <c r="T51" s="167" t="str">
        <f>IFERROR(__xludf.DUMMYFUNCTION("""COMPUTED_VALUE"""),"④R8_4月報")</f>
        <v>④R8_4月報</v>
      </c>
      <c r="U51" s="678"/>
      <c r="V51" s="728"/>
      <c r="W51" s="675"/>
      <c r="X51" s="770"/>
      <c r="Y51" s="675"/>
      <c r="Z51" s="675"/>
    </row>
    <row r="52" outlineLevel="1">
      <c r="A52" s="675"/>
      <c r="B52" s="751"/>
      <c r="C52" s="710"/>
      <c r="D52" s="710"/>
      <c r="E52" s="710"/>
      <c r="F52" s="771" t="s">
        <v>528</v>
      </c>
      <c r="G52" s="772"/>
      <c r="H52" s="754"/>
      <c r="I52" s="754"/>
      <c r="J52" s="754"/>
      <c r="K52" s="754"/>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28"/>
      <c r="W52" s="675"/>
      <c r="X52" s="770"/>
      <c r="Y52" s="675"/>
      <c r="Z52" s="675"/>
    </row>
    <row r="53" outlineLevel="1">
      <c r="A53" s="675"/>
      <c r="B53" s="774"/>
      <c r="C53" s="775">
        <f>IF(C42="","",IF(DAY(C42+1)=1,"",C42+1))</f>
        <v>46058</v>
      </c>
      <c r="D53" s="776" t="str">
        <f>TEXT(C53,"ddd")</f>
        <v>木</v>
      </c>
      <c r="E53" s="777"/>
      <c r="F53" s="778" t="s">
        <v>527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28"/>
      <c r="W53" s="675"/>
      <c r="X53" s="770"/>
      <c r="Y53" s="675"/>
      <c r="Z53" s="675"/>
    </row>
    <row r="54" outlineLevel="1">
      <c r="A54" s="675"/>
      <c r="B54" s="742"/>
      <c r="C54" s="743"/>
      <c r="D54" s="743"/>
      <c r="E54" s="743"/>
      <c r="F54" s="743"/>
      <c r="G54" s="744"/>
      <c r="H54" s="743"/>
      <c r="I54" s="743"/>
      <c r="J54" s="743"/>
      <c r="K54" s="743"/>
      <c r="L54" s="782"/>
      <c r="M54" s="782"/>
      <c r="N54" s="743"/>
      <c r="O54" s="746"/>
      <c r="Q54" s="741"/>
      <c r="R54" s="675"/>
      <c r="S54" s="216" t="str">
        <f t="array" ref="S54">IFERROR(INDEX('💻シート作成'!$D$6:$D1001, MATCH(T54, '💻シート作成'!$E$6:$E1001, 0)), "")</f>
        <v>3月</v>
      </c>
      <c r="T54" s="167" t="str">
        <f>IFERROR(__xludf.DUMMYFUNCTION("""COMPUTED_VALUE"""),"③R8_3日報")</f>
        <v>③R8_3日報</v>
      </c>
      <c r="U54" s="678"/>
      <c r="V54" s="728"/>
      <c r="W54" s="675"/>
      <c r="X54" s="770"/>
      <c r="Y54" s="675"/>
      <c r="Z54" s="675"/>
    </row>
    <row r="55" outlineLevel="1">
      <c r="A55" s="675"/>
      <c r="B55" s="742"/>
      <c r="C55" s="743"/>
      <c r="D55" s="743"/>
      <c r="E55" s="743"/>
      <c r="F55" s="743"/>
      <c r="G55" s="744"/>
      <c r="H55" s="743"/>
      <c r="I55" s="743"/>
      <c r="J55" s="743"/>
      <c r="K55" s="743"/>
      <c r="L55" s="782"/>
      <c r="M55" s="782"/>
      <c r="N55" s="743"/>
      <c r="O55" s="746"/>
      <c r="Q55" s="741"/>
      <c r="R55" s="675"/>
      <c r="S55" s="216" t="str">
        <f t="array" ref="S55">IFERROR(INDEX('💻シート作成'!$D$6:$D1001, MATCH(T55, '💻シート作成'!$E$6:$E1001, 0)), "")</f>
        <v>3月</v>
      </c>
      <c r="T55" s="167" t="str">
        <f>IFERROR(__xludf.DUMMYFUNCTION("""COMPUTED_VALUE"""),"④R8_3月報")</f>
        <v>④R8_3月報</v>
      </c>
      <c r="U55" s="678"/>
      <c r="V55" s="728"/>
      <c r="W55" s="675"/>
      <c r="X55" s="770"/>
      <c r="Y55" s="675"/>
      <c r="Z55" s="675"/>
    </row>
    <row r="56" outlineLevel="1">
      <c r="A56" s="675"/>
      <c r="B56" s="742"/>
      <c r="C56" s="743"/>
      <c r="D56" s="743"/>
      <c r="E56" s="743"/>
      <c r="F56" s="743"/>
      <c r="G56" s="744"/>
      <c r="H56" s="743"/>
      <c r="I56" s="743"/>
      <c r="J56" s="743"/>
      <c r="K56" s="743"/>
      <c r="L56" s="786"/>
      <c r="M56" s="782"/>
      <c r="N56" s="743"/>
      <c r="O56" s="746"/>
      <c r="Q56" s="741"/>
      <c r="R56" s="675"/>
      <c r="S56" s="216" t="str">
        <f t="array" ref="S56">IFERROR(INDEX('💻シート作成'!$D$6:$D1001, MATCH(T56, '💻シート作成'!$E$6:$E1001, 0)), "")</f>
        <v>2月</v>
      </c>
      <c r="T56" s="167" t="str">
        <f>IFERROR(__xludf.DUMMYFUNCTION("""COMPUTED_VALUE"""),"①R8_2集計")</f>
        <v>①R8_2集計</v>
      </c>
      <c r="U56" s="678"/>
      <c r="V56" s="728"/>
      <c r="W56" s="675"/>
      <c r="X56" s="770"/>
      <c r="Y56" s="675"/>
      <c r="Z56" s="675"/>
    </row>
    <row r="57" outlineLevel="1">
      <c r="A57" s="675"/>
      <c r="B57" s="742"/>
      <c r="C57" s="743"/>
      <c r="D57" s="743"/>
      <c r="E57" s="743"/>
      <c r="F57" s="743"/>
      <c r="G57" s="744"/>
      <c r="H57" s="743"/>
      <c r="I57" s="743"/>
      <c r="J57" s="743"/>
      <c r="K57" s="743"/>
      <c r="L57" s="786"/>
      <c r="M57" s="782"/>
      <c r="N57" s="743"/>
      <c r="O57" s="746"/>
      <c r="Q57" s="741"/>
      <c r="R57" s="675"/>
      <c r="S57" s="216" t="str">
        <f t="array" ref="S57">IFERROR(INDEX('💻シート作成'!$D$6:$D1001, MATCH(T57, '💻シート作成'!$E$6:$E1001, 0)), "")</f>
        <v>2月</v>
      </c>
      <c r="T57" s="167" t="str">
        <f>IFERROR(__xludf.DUMMYFUNCTION("""COMPUTED_VALUE"""),"②R8_2シフト")</f>
        <v>②R8_2シフト</v>
      </c>
      <c r="U57" s="678"/>
      <c r="V57" s="728"/>
      <c r="W57" s="675"/>
      <c r="X57" s="770"/>
      <c r="Y57" s="675"/>
      <c r="Z57" s="675"/>
    </row>
    <row r="58" outlineLevel="1">
      <c r="A58" s="675"/>
      <c r="B58" s="742"/>
      <c r="C58" s="743"/>
      <c r="D58" s="743"/>
      <c r="E58" s="743"/>
      <c r="F58" s="743"/>
      <c r="G58" s="744"/>
      <c r="H58" s="743"/>
      <c r="I58" s="743"/>
      <c r="J58" s="743"/>
      <c r="K58" s="743"/>
      <c r="L58" s="786"/>
      <c r="M58" s="782"/>
      <c r="N58" s="743"/>
      <c r="O58" s="746"/>
      <c r="Q58" s="741"/>
      <c r="R58" s="675"/>
      <c r="S58" s="216" t="str">
        <f t="array" ref="S58">IFERROR(INDEX('💻シート作成'!$D$6:$D1001, MATCH(T58, '💻シート作成'!$E$6:$E1001, 0)), "")</f>
        <v>2月</v>
      </c>
      <c r="T58" s="167" t="str">
        <f>IFERROR(__xludf.DUMMYFUNCTION("""COMPUTED_VALUE"""),"③R8_2日報")</f>
        <v>③R8_2日報</v>
      </c>
      <c r="U58" s="678"/>
      <c r="V58" s="728"/>
      <c r="W58" s="675"/>
      <c r="X58" s="770"/>
      <c r="Y58" s="675"/>
      <c r="Z58" s="675"/>
    </row>
    <row r="59" outlineLevel="1">
      <c r="A59" s="675"/>
      <c r="B59" s="742"/>
      <c r="C59" s="743"/>
      <c r="D59" s="743"/>
      <c r="E59" s="743"/>
      <c r="F59" s="743"/>
      <c r="G59" s="744"/>
      <c r="H59" s="743"/>
      <c r="I59" s="743"/>
      <c r="J59" s="743"/>
      <c r="K59" s="743"/>
      <c r="L59" s="786"/>
      <c r="M59" s="782"/>
      <c r="N59" s="743"/>
      <c r="O59" s="746"/>
      <c r="Q59" s="741"/>
      <c r="R59" s="675"/>
      <c r="S59" s="216" t="str">
        <f t="array" ref="S59">IFERROR(INDEX('💻シート作成'!$D$6:$D1001, MATCH(T59, '💻シート作成'!$E$6:$E1001, 0)), "")</f>
        <v>2月</v>
      </c>
      <c r="T59" s="167" t="str">
        <f>IFERROR(__xludf.DUMMYFUNCTION("""COMPUTED_VALUE"""),"④R8_2月報")</f>
        <v>④R8_2月報</v>
      </c>
      <c r="U59" s="678"/>
      <c r="V59" s="728"/>
      <c r="W59" s="675"/>
      <c r="X59" s="770"/>
      <c r="Y59" s="675"/>
      <c r="Z59" s="675"/>
    </row>
    <row r="60" outlineLevel="1">
      <c r="A60" s="675"/>
      <c r="B60" s="742"/>
      <c r="C60" s="743"/>
      <c r="D60" s="743"/>
      <c r="E60" s="743"/>
      <c r="F60" s="743"/>
      <c r="G60" s="744"/>
      <c r="H60" s="743"/>
      <c r="I60" s="743"/>
      <c r="J60" s="743"/>
      <c r="K60" s="743"/>
      <c r="L60" s="786"/>
      <c r="M60" s="782"/>
      <c r="N60" s="743"/>
      <c r="O60" s="746"/>
      <c r="Q60" s="741"/>
      <c r="R60" s="675"/>
      <c r="S60" s="216" t="str">
        <f t="array" ref="S60">IFERROR(INDEX('💻シート作成'!$D$6:$D1001, MATCH(T60, '💻シート作成'!$E$6:$E1001, 0)), "")</f>
        <v/>
      </c>
      <c r="T60" s="167" t="str">
        <f>IFERROR(__xludf.DUMMYFUNCTION("""COMPUTED_VALUE"""),"💻シート作成")</f>
        <v>💻シート作成</v>
      </c>
      <c r="U60" s="678"/>
      <c r="V60" s="728"/>
      <c r="W60" s="675"/>
      <c r="X60" s="770"/>
      <c r="Y60" s="675"/>
      <c r="Z60" s="675"/>
    </row>
    <row r="61" outlineLevel="1">
      <c r="A61" s="675"/>
      <c r="B61" s="742"/>
      <c r="C61" s="743"/>
      <c r="D61" s="743"/>
      <c r="E61" s="743"/>
      <c r="F61" s="743"/>
      <c r="G61" s="744"/>
      <c r="H61" s="743"/>
      <c r="I61" s="743"/>
      <c r="J61" s="743"/>
      <c r="K61" s="743"/>
      <c r="L61" s="786"/>
      <c r="M61" s="782"/>
      <c r="N61" s="743"/>
      <c r="O61" s="746"/>
      <c r="Q61" s="741"/>
      <c r="R61" s="675"/>
      <c r="S61" s="216" t="str">
        <f t="array" ref="S61">IFERROR(INDEX('💻シート作成'!$D$6:$D1001, MATCH(T61, '💻シート作成'!$E$6:$E1001, 0)), "")</f>
        <v/>
      </c>
      <c r="T61" s="167" t="str">
        <f>IFERROR(__xludf.DUMMYFUNCTION("""COMPUTED_VALUE"""),"🌟目標数値")</f>
        <v>🌟目標数値</v>
      </c>
      <c r="U61" s="678"/>
      <c r="V61" s="728"/>
      <c r="W61" s="675"/>
      <c r="X61" s="770"/>
      <c r="Y61" s="675"/>
      <c r="Z61" s="675"/>
    </row>
    <row r="62" outlineLevel="1">
      <c r="A62" s="675"/>
      <c r="B62" s="742"/>
      <c r="C62" s="743"/>
      <c r="D62" s="743"/>
      <c r="E62" s="743"/>
      <c r="F62" s="710"/>
      <c r="G62" s="711"/>
      <c r="H62" s="710"/>
      <c r="I62" s="710"/>
      <c r="J62" s="710"/>
      <c r="K62" s="710"/>
      <c r="L62" s="786"/>
      <c r="M62" s="782"/>
      <c r="N62" s="710"/>
      <c r="O62" s="713"/>
      <c r="P62" s="714"/>
      <c r="Q62" s="750"/>
      <c r="R62" s="675"/>
      <c r="S62" s="216" t="str">
        <f t="array" ref="S62">IFERROR(INDEX('💻シート作成'!$D$6:$D1001, MATCH(T62, '💻シート作成'!$E$6:$E1001, 0)), "")</f>
        <v/>
      </c>
      <c r="T62" s="167" t="str">
        <f>IFERROR(__xludf.DUMMYFUNCTION("""COMPUTED_VALUE"""),"🏆皆勤アワード")</f>
        <v>🏆皆勤アワード</v>
      </c>
      <c r="U62" s="678"/>
      <c r="V62" s="728"/>
      <c r="W62" s="675"/>
      <c r="X62" s="770"/>
      <c r="Y62" s="675"/>
      <c r="Z62" s="675"/>
    </row>
    <row r="63" outlineLevel="1">
      <c r="A63" s="675"/>
      <c r="B63" s="751"/>
      <c r="C63" s="710"/>
      <c r="D63" s="710"/>
      <c r="E63" s="710"/>
      <c r="F63" s="752" t="s">
        <v>528</v>
      </c>
      <c r="G63" s="753"/>
      <c r="H63" s="754"/>
      <c r="I63" s="754"/>
      <c r="J63" s="754"/>
      <c r="K63" s="754"/>
      <c r="L63" s="753"/>
      <c r="M63" s="753"/>
      <c r="N63" s="753"/>
      <c r="O63" s="753"/>
      <c r="P63" s="753"/>
      <c r="Q63" s="755"/>
      <c r="R63" s="675"/>
      <c r="S63" s="216" t="str">
        <f t="array" ref="S63">IFERROR(INDEX('💻シート作成'!$D$6:$D1001, MATCH(T63, '💻シート作成'!$E$6:$E1001, 0)), "")</f>
        <v/>
      </c>
      <c r="T63" s="167" t="str">
        <f>IFERROR(__xludf.DUMMYFUNCTION("""COMPUTED_VALUE"""),"⚙️抽出用")</f>
        <v>⚙️抽出用</v>
      </c>
      <c r="U63" s="678"/>
      <c r="V63" s="728"/>
      <c r="W63" s="675"/>
      <c r="X63" s="770"/>
      <c r="Y63" s="675"/>
      <c r="Z63" s="675"/>
    </row>
    <row r="64" collapsed="1">
      <c r="A64" s="675"/>
      <c r="B64" s="792" t="s">
        <v>529</v>
      </c>
      <c r="C64" s="793"/>
      <c r="D64" s="793"/>
      <c r="E64" s="793"/>
      <c r="F64" s="794"/>
      <c r="G64" s="795"/>
      <c r="H64" s="796"/>
      <c r="I64" s="796"/>
      <c r="J64" s="797"/>
      <c r="K64" s="797"/>
      <c r="L64" s="795"/>
      <c r="M64" s="795"/>
      <c r="N64" s="798"/>
      <c r="O64" s="799"/>
      <c r="P64" s="799"/>
      <c r="Q64" s="800"/>
      <c r="R64" s="675"/>
      <c r="S64" s="216" t="str">
        <f t="array" ref="S64">IFERROR(INDEX('💻シート作成'!$D$6:$D1001, MATCH(T64, '💻シート作成'!$E$6:$E1001, 0)), "")</f>
        <v/>
      </c>
      <c r="T64" s="167" t="str">
        <f>IFERROR(__xludf.DUMMYFUNCTION("""COMPUTED_VALUE"""),"①集計_原本")</f>
        <v>①集計_原本</v>
      </c>
      <c r="U64" s="678"/>
      <c r="V64" s="728"/>
      <c r="W64" s="675"/>
      <c r="X64" s="770"/>
      <c r="Y64" s="675"/>
      <c r="Z64" s="675"/>
    </row>
    <row r="65" hidden="1" outlineLevel="1">
      <c r="A65" s="675"/>
      <c r="B65" s="756"/>
      <c r="C65" s="757">
        <f>IF(C53="","",IF(DAY(C53+1)=1,"",C53+1))</f>
        <v>46059</v>
      </c>
      <c r="D65" s="758" t="str">
        <f>TEXT(C65,"ddd")</f>
        <v>金</v>
      </c>
      <c r="E65" s="759"/>
      <c r="F65" s="787" t="s">
        <v>527</v>
      </c>
      <c r="G65" s="788"/>
      <c r="H65" s="789"/>
      <c r="I65" s="790">
        <v>0.0</v>
      </c>
      <c r="J65" s="758"/>
      <c r="K65" s="758"/>
      <c r="L65" s="768"/>
      <c r="M65" s="768"/>
      <c r="N65" s="787"/>
      <c r="O65" s="791"/>
      <c r="P65" s="784"/>
      <c r="Q65" s="785"/>
      <c r="R65" s="675"/>
      <c r="S65" s="216" t="str">
        <f t="array" ref="S65">IFERROR(INDEX('💻シート作成'!$D$6:$D1001, MATCH(T65, '💻シート作成'!$E$6:$E1001, 0)), "")</f>
        <v/>
      </c>
      <c r="T65" s="167" t="str">
        <f>IFERROR(__xludf.DUMMYFUNCTION("""COMPUTED_VALUE"""),"②シフト_原本")</f>
        <v>②シフト_原本</v>
      </c>
      <c r="U65" s="678"/>
      <c r="V65" s="728"/>
      <c r="W65" s="675"/>
      <c r="X65" s="770"/>
      <c r="Y65" s="675"/>
      <c r="Z65" s="675"/>
    </row>
    <row r="66" hidden="1" outlineLevel="1">
      <c r="A66" s="675"/>
      <c r="B66" s="742"/>
      <c r="C66" s="743"/>
      <c r="D66" s="743"/>
      <c r="E66" s="743"/>
      <c r="F66" s="743"/>
      <c r="G66" s="744"/>
      <c r="H66" s="743"/>
      <c r="I66" s="743"/>
      <c r="J66" s="743"/>
      <c r="K66" s="743"/>
      <c r="L66" s="768"/>
      <c r="M66" s="768"/>
      <c r="N66" s="743"/>
      <c r="O66" s="746"/>
      <c r="Q66" s="741"/>
      <c r="R66" s="675"/>
      <c r="S66" s="216" t="str">
        <f t="array" ref="S66">IFERROR(INDEX('💻シート作成'!$D$6:$D1001, MATCH(T66, '💻シート作成'!$E$6:$E1001, 0)), "")</f>
        <v/>
      </c>
      <c r="T66" s="167" t="str">
        <f>IFERROR(__xludf.DUMMYFUNCTION("""COMPUTED_VALUE"""),"③日報_原本")</f>
        <v>③日報_原本</v>
      </c>
      <c r="U66" s="678"/>
      <c r="V66" s="728"/>
      <c r="W66" s="675"/>
      <c r="X66" s="770"/>
      <c r="Y66" s="675"/>
      <c r="Z66" s="675"/>
    </row>
    <row r="67" hidden="1" outlineLevel="1">
      <c r="A67" s="675"/>
      <c r="B67" s="742"/>
      <c r="C67" s="743"/>
      <c r="D67" s="743"/>
      <c r="E67" s="743"/>
      <c r="F67" s="743"/>
      <c r="G67" s="744"/>
      <c r="H67" s="743"/>
      <c r="I67" s="743"/>
      <c r="J67" s="743"/>
      <c r="K67" s="743"/>
      <c r="L67" s="768"/>
      <c r="M67" s="768"/>
      <c r="N67" s="743"/>
      <c r="O67" s="746"/>
      <c r="Q67" s="741"/>
      <c r="R67" s="675"/>
      <c r="S67" s="216" t="str">
        <f t="array" ref="S67">IFERROR(INDEX('💻シート作成'!$D$6:$D1001, MATCH(T67, '💻シート作成'!$E$6:$E1001, 0)), "")</f>
        <v/>
      </c>
      <c r="T67" s="167" t="str">
        <f>IFERROR(__xludf.DUMMYFUNCTION("""COMPUTED_VALUE"""),"④月報_原本")</f>
        <v>④月報_原本</v>
      </c>
      <c r="U67" s="678"/>
      <c r="V67" s="728"/>
      <c r="W67" s="675"/>
      <c r="X67" s="770"/>
      <c r="Y67" s="675"/>
      <c r="Z67" s="675"/>
    </row>
    <row r="68" hidden="1" outlineLevel="1">
      <c r="A68" s="675"/>
      <c r="B68" s="742"/>
      <c r="C68" s="743"/>
      <c r="D68" s="743"/>
      <c r="E68" s="743"/>
      <c r="F68" s="743"/>
      <c r="G68" s="744"/>
      <c r="H68" s="743"/>
      <c r="I68" s="743"/>
      <c r="J68" s="743"/>
      <c r="K68" s="743"/>
      <c r="L68" s="769"/>
      <c r="M68" s="768"/>
      <c r="N68" s="743"/>
      <c r="O68" s="746"/>
      <c r="Q68" s="741"/>
      <c r="R68" s="675"/>
      <c r="S68" s="216" t="str">
        <f t="array" ref="S68">IFERROR(INDEX('💻シート作成'!$D$6:$D1001, MATCH(T68, '💻シート作成'!$E$6:$E1001, 0)), "")</f>
        <v/>
      </c>
      <c r="T68" s="168" t="str">
        <f>IFERROR(__xludf.DUMMYFUNCTION("""COMPUTED_VALUE"""),"🧹特別清掃")</f>
        <v>🧹特別清掃</v>
      </c>
      <c r="U68" s="678"/>
      <c r="V68" s="728"/>
      <c r="W68" s="675"/>
      <c r="X68" s="770"/>
      <c r="Y68" s="675"/>
      <c r="Z68" s="675"/>
    </row>
    <row r="69" hidden="1" outlineLevel="1">
      <c r="A69" s="675"/>
      <c r="B69" s="742"/>
      <c r="C69" s="743"/>
      <c r="D69" s="743"/>
      <c r="E69" s="743"/>
      <c r="F69" s="743"/>
      <c r="G69" s="744"/>
      <c r="H69" s="743"/>
      <c r="I69" s="743"/>
      <c r="J69" s="743"/>
      <c r="K69" s="743"/>
      <c r="L69" s="769"/>
      <c r="M69" s="768"/>
      <c r="N69" s="743"/>
      <c r="O69" s="746"/>
      <c r="Q69" s="741"/>
      <c r="R69" s="675"/>
      <c r="S69" s="216" t="str">
        <f t="array" ref="S69">IFERROR(INDEX('💻シート作成'!$D$6:$D1001, MATCH(T69, '💻シート作成'!$E$6:$E1001, 0)), "")</f>
        <v/>
      </c>
      <c r="T69" s="168"/>
      <c r="U69" s="678"/>
      <c r="V69" s="728"/>
      <c r="W69" s="675"/>
      <c r="X69" s="770"/>
      <c r="Y69" s="675"/>
      <c r="Z69" s="675"/>
    </row>
    <row r="70" hidden="1" outlineLevel="1">
      <c r="A70" s="675"/>
      <c r="B70" s="742"/>
      <c r="C70" s="743"/>
      <c r="D70" s="743"/>
      <c r="E70" s="743"/>
      <c r="F70" s="743"/>
      <c r="G70" s="744"/>
      <c r="H70" s="743"/>
      <c r="I70" s="743"/>
      <c r="J70" s="743"/>
      <c r="K70" s="743"/>
      <c r="L70" s="769"/>
      <c r="M70" s="768"/>
      <c r="N70" s="743"/>
      <c r="O70" s="746"/>
      <c r="Q70" s="741"/>
      <c r="R70" s="675"/>
      <c r="S70" s="216" t="str">
        <f t="array" ref="S70">IFERROR(INDEX('💻シート作成'!$D$6:$D1001, MATCH(T70, '💻シート作成'!$E$6:$E1001, 0)), "")</f>
        <v/>
      </c>
      <c r="T70" s="168"/>
      <c r="U70" s="678"/>
      <c r="V70" s="728"/>
      <c r="W70" s="675"/>
      <c r="X70" s="770"/>
      <c r="Y70" s="675"/>
      <c r="Z70" s="675"/>
    </row>
    <row r="71" hidden="1" outlineLevel="1">
      <c r="A71" s="675"/>
      <c r="B71" s="742"/>
      <c r="C71" s="743"/>
      <c r="D71" s="743"/>
      <c r="E71" s="743"/>
      <c r="F71" s="743"/>
      <c r="G71" s="744"/>
      <c r="H71" s="743"/>
      <c r="I71" s="743"/>
      <c r="J71" s="743"/>
      <c r="K71" s="743"/>
      <c r="L71" s="769"/>
      <c r="M71" s="768"/>
      <c r="N71" s="743"/>
      <c r="O71" s="746"/>
      <c r="Q71" s="741"/>
      <c r="R71" s="675"/>
      <c r="S71" s="216" t="str">
        <f t="array" ref="S71">IFERROR(INDEX('💻シート作成'!$D$6:$D1001, MATCH(T71, '💻シート作成'!$E$6:$E1001, 0)), "")</f>
        <v/>
      </c>
      <c r="T71" s="168"/>
      <c r="U71" s="678"/>
      <c r="V71" s="728"/>
      <c r="W71" s="675"/>
      <c r="X71" s="770"/>
      <c r="Y71" s="675"/>
      <c r="Z71" s="675"/>
    </row>
    <row r="72" hidden="1" outlineLevel="1">
      <c r="A72" s="675"/>
      <c r="B72" s="742"/>
      <c r="C72" s="743"/>
      <c r="D72" s="743"/>
      <c r="E72" s="743"/>
      <c r="F72" s="743"/>
      <c r="G72" s="744"/>
      <c r="H72" s="743"/>
      <c r="I72" s="743"/>
      <c r="J72" s="743"/>
      <c r="K72" s="743"/>
      <c r="L72" s="769"/>
      <c r="M72" s="768"/>
      <c r="N72" s="743"/>
      <c r="O72" s="746"/>
      <c r="Q72" s="741"/>
      <c r="R72" s="675"/>
      <c r="S72" s="216" t="str">
        <f t="array" ref="S72">IFERROR(INDEX('💻シート作成'!$D$6:$D1001, MATCH(T72, '💻シート作成'!$E$6:$E1001, 0)), "")</f>
        <v/>
      </c>
      <c r="T72" s="168"/>
      <c r="U72" s="678"/>
      <c r="V72" s="728"/>
      <c r="W72" s="675"/>
      <c r="X72" s="770"/>
      <c r="Y72" s="675"/>
      <c r="Z72" s="675"/>
    </row>
    <row r="73" hidden="1" outlineLevel="1">
      <c r="A73" s="675"/>
      <c r="B73" s="742"/>
      <c r="C73" s="743"/>
      <c r="D73" s="743"/>
      <c r="E73" s="743"/>
      <c r="F73" s="743"/>
      <c r="G73" s="744"/>
      <c r="H73" s="743"/>
      <c r="I73" s="743"/>
      <c r="J73" s="743"/>
      <c r="K73" s="743"/>
      <c r="L73" s="769"/>
      <c r="M73" s="768"/>
      <c r="N73" s="743"/>
      <c r="O73" s="746"/>
      <c r="Q73" s="741"/>
      <c r="R73" s="675"/>
      <c r="S73" s="216" t="str">
        <f t="array" ref="S73">IFERROR(INDEX('💻シート作成'!$D$6:$D1001, MATCH(T73, '💻シート作成'!$E$6:$E1001, 0)), "")</f>
        <v/>
      </c>
      <c r="T73" s="168"/>
      <c r="U73" s="678"/>
      <c r="V73" s="728"/>
      <c r="W73" s="675"/>
      <c r="X73" s="770"/>
      <c r="Y73" s="675"/>
      <c r="Z73" s="675"/>
    </row>
    <row r="74" hidden="1" outlineLevel="1">
      <c r="A74" s="675"/>
      <c r="B74" s="742"/>
      <c r="C74" s="743"/>
      <c r="D74" s="743"/>
      <c r="E74" s="743"/>
      <c r="F74" s="710"/>
      <c r="G74" s="711"/>
      <c r="H74" s="710"/>
      <c r="I74" s="710"/>
      <c r="J74" s="710"/>
      <c r="K74" s="710"/>
      <c r="L74" s="769"/>
      <c r="M74" s="768"/>
      <c r="N74" s="710"/>
      <c r="O74" s="713"/>
      <c r="P74" s="714"/>
      <c r="Q74" s="750"/>
      <c r="R74" s="675"/>
      <c r="S74" s="216" t="str">
        <f t="array" ref="S74">IFERROR(INDEX('💻シート作成'!$D$6:$D1001, MATCH(T74, '💻シート作成'!$E$6:$E1001, 0)), "")</f>
        <v/>
      </c>
      <c r="T74" s="168"/>
      <c r="U74" s="678"/>
      <c r="V74" s="728"/>
      <c r="W74" s="675"/>
      <c r="X74" s="770"/>
      <c r="Y74" s="675"/>
      <c r="Z74" s="675"/>
    </row>
    <row r="75" hidden="1" outlineLevel="1">
      <c r="A75" s="675"/>
      <c r="B75" s="751"/>
      <c r="C75" s="710"/>
      <c r="D75" s="710"/>
      <c r="E75" s="710"/>
      <c r="F75" s="771" t="s">
        <v>528</v>
      </c>
      <c r="G75" s="772"/>
      <c r="H75" s="754"/>
      <c r="I75" s="754"/>
      <c r="J75" s="754"/>
      <c r="K75" s="754"/>
      <c r="L75" s="772"/>
      <c r="M75" s="772"/>
      <c r="N75" s="772"/>
      <c r="O75" s="772"/>
      <c r="P75" s="772"/>
      <c r="Q75" s="773"/>
      <c r="R75" s="675"/>
      <c r="S75" s="216" t="str">
        <f t="array" ref="S75">IFERROR(INDEX('💻シート作成'!$D$6:$D1001, MATCH(T75, '💻シート作成'!$E$6:$E1001, 0)), "")</f>
        <v/>
      </c>
      <c r="T75" s="168"/>
      <c r="U75" s="678"/>
      <c r="V75" s="728"/>
      <c r="W75" s="675"/>
      <c r="X75" s="770"/>
      <c r="Y75" s="675"/>
      <c r="Z75" s="675"/>
    </row>
    <row r="76" hidden="1" outlineLevel="1">
      <c r="A76" s="675"/>
      <c r="B76" s="774"/>
      <c r="C76" s="775">
        <f>IF(C65="","",IF(DAY(C65+1)=1,"",C65+1))</f>
        <v>46060</v>
      </c>
      <c r="D76" s="776" t="str">
        <f>TEXT(C76,"ddd")</f>
        <v>土</v>
      </c>
      <c r="E76" s="777"/>
      <c r="F76" s="778" t="s">
        <v>527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28"/>
      <c r="W76" s="675"/>
      <c r="X76" s="770"/>
      <c r="Y76" s="675"/>
      <c r="Z76" s="675"/>
    </row>
    <row r="77" hidden="1" outlineLevel="1">
      <c r="A77" s="675"/>
      <c r="B77" s="742"/>
      <c r="C77" s="743"/>
      <c r="D77" s="743"/>
      <c r="E77" s="743"/>
      <c r="F77" s="743"/>
      <c r="G77" s="744"/>
      <c r="H77" s="743"/>
      <c r="I77" s="743"/>
      <c r="J77" s="743"/>
      <c r="K77" s="743"/>
      <c r="L77" s="782"/>
      <c r="M77" s="782"/>
      <c r="N77" s="743"/>
      <c r="O77" s="746"/>
      <c r="Q77" s="741"/>
      <c r="R77" s="675"/>
      <c r="S77" s="216" t="str">
        <f t="array" ref="S77">IFERROR(INDEX('💻シート作成'!$D$6:$D1001, MATCH(T77, '💻シート作成'!$E$6:$E1001, 0)), "")</f>
        <v/>
      </c>
      <c r="T77" s="168"/>
      <c r="U77" s="678"/>
      <c r="V77" s="728"/>
      <c r="W77" s="675"/>
      <c r="X77" s="770"/>
      <c r="Y77" s="675"/>
      <c r="Z77" s="675"/>
    </row>
    <row r="78" hidden="1" outlineLevel="1">
      <c r="A78" s="675"/>
      <c r="B78" s="742"/>
      <c r="C78" s="743"/>
      <c r="D78" s="743"/>
      <c r="E78" s="743"/>
      <c r="F78" s="743"/>
      <c r="G78" s="744"/>
      <c r="H78" s="743"/>
      <c r="I78" s="743"/>
      <c r="J78" s="743"/>
      <c r="K78" s="743"/>
      <c r="L78" s="782"/>
      <c r="M78" s="782"/>
      <c r="N78" s="743"/>
      <c r="O78" s="746"/>
      <c r="Q78" s="741"/>
      <c r="R78" s="675"/>
      <c r="S78" s="216" t="str">
        <f t="array" ref="S78">IFERROR(INDEX('💻シート作成'!$D$6:$D1001, MATCH(T78, '💻シート作成'!$E$6:$E1001, 0)), "")</f>
        <v/>
      </c>
      <c r="T78" s="168"/>
      <c r="U78" s="678"/>
      <c r="V78" s="728"/>
      <c r="W78" s="675"/>
      <c r="X78" s="770"/>
      <c r="Y78" s="675"/>
      <c r="Z78" s="675"/>
    </row>
    <row r="79" hidden="1" outlineLevel="1">
      <c r="A79" s="675"/>
      <c r="B79" s="742"/>
      <c r="C79" s="743"/>
      <c r="D79" s="743"/>
      <c r="E79" s="743"/>
      <c r="F79" s="743"/>
      <c r="G79" s="744"/>
      <c r="H79" s="743"/>
      <c r="I79" s="743"/>
      <c r="J79" s="743"/>
      <c r="K79" s="743"/>
      <c r="L79" s="786"/>
      <c r="M79" s="782"/>
      <c r="N79" s="743"/>
      <c r="O79" s="746"/>
      <c r="Q79" s="741"/>
      <c r="R79" s="675"/>
      <c r="S79" s="216" t="str">
        <f t="array" ref="S79">IFERROR(INDEX('💻シート作成'!$D$6:$D1001, MATCH(T79, '💻シート作成'!$E$6:$E1001, 0)), "")</f>
        <v/>
      </c>
      <c r="T79" s="168"/>
      <c r="U79" s="678"/>
      <c r="V79" s="728"/>
      <c r="W79" s="675"/>
      <c r="X79" s="770"/>
      <c r="Y79" s="675"/>
      <c r="Z79" s="675"/>
    </row>
    <row r="80" hidden="1" outlineLevel="1">
      <c r="A80" s="675"/>
      <c r="B80" s="742"/>
      <c r="C80" s="743"/>
      <c r="D80" s="743"/>
      <c r="E80" s="743"/>
      <c r="F80" s="743"/>
      <c r="G80" s="744"/>
      <c r="H80" s="743"/>
      <c r="I80" s="743"/>
      <c r="J80" s="743"/>
      <c r="K80" s="743"/>
      <c r="L80" s="786"/>
      <c r="M80" s="782"/>
      <c r="N80" s="743"/>
      <c r="O80" s="746"/>
      <c r="Q80" s="741"/>
      <c r="R80" s="675"/>
      <c r="S80" s="216" t="str">
        <f t="array" ref="S80">IFERROR(INDEX('💻シート作成'!$D$6:$D1001, MATCH(T80, '💻シート作成'!$E$6:$E1001, 0)), "")</f>
        <v/>
      </c>
      <c r="T80" s="168"/>
      <c r="U80" s="678"/>
      <c r="V80" s="728"/>
      <c r="W80" s="675"/>
      <c r="X80" s="770"/>
      <c r="Y80" s="675"/>
      <c r="Z80" s="675"/>
    </row>
    <row r="81" hidden="1" outlineLevel="1">
      <c r="A81" s="675"/>
      <c r="B81" s="742"/>
      <c r="C81" s="743"/>
      <c r="D81" s="743"/>
      <c r="E81" s="743"/>
      <c r="F81" s="743"/>
      <c r="G81" s="744"/>
      <c r="H81" s="743"/>
      <c r="I81" s="743"/>
      <c r="J81" s="743"/>
      <c r="K81" s="743"/>
      <c r="L81" s="786"/>
      <c r="M81" s="782"/>
      <c r="N81" s="743"/>
      <c r="O81" s="746"/>
      <c r="Q81" s="741"/>
      <c r="R81" s="675"/>
      <c r="S81" s="216" t="str">
        <f t="array" ref="S81">IFERROR(INDEX('💻シート作成'!$D$6:$D1001, MATCH(T81, '💻シート作成'!$E$6:$E1001, 0)), "")</f>
        <v/>
      </c>
      <c r="T81" s="168"/>
      <c r="U81" s="678"/>
      <c r="V81" s="728"/>
      <c r="W81" s="675"/>
      <c r="X81" s="770"/>
      <c r="Y81" s="675"/>
      <c r="Z81" s="675"/>
    </row>
    <row r="82" hidden="1" outlineLevel="1">
      <c r="A82" s="675"/>
      <c r="B82" s="742"/>
      <c r="C82" s="743"/>
      <c r="D82" s="743"/>
      <c r="E82" s="743"/>
      <c r="F82" s="743"/>
      <c r="G82" s="744"/>
      <c r="H82" s="743"/>
      <c r="I82" s="743"/>
      <c r="J82" s="743"/>
      <c r="K82" s="743"/>
      <c r="L82" s="786"/>
      <c r="M82" s="782"/>
      <c r="N82" s="743"/>
      <c r="O82" s="746"/>
      <c r="Q82" s="741"/>
      <c r="R82" s="675"/>
      <c r="S82" s="216" t="str">
        <f t="array" ref="S82">IFERROR(INDEX('💻シート作成'!$D$6:$D1001, MATCH(T82, '💻シート作成'!$E$6:$E1001, 0)), "")</f>
        <v/>
      </c>
      <c r="T82" s="168"/>
      <c r="U82" s="678"/>
      <c r="V82" s="728"/>
      <c r="W82" s="675"/>
      <c r="X82" s="770"/>
      <c r="Y82" s="675"/>
      <c r="Z82" s="675"/>
    </row>
    <row r="83" hidden="1" outlineLevel="1">
      <c r="A83" s="675"/>
      <c r="B83" s="742"/>
      <c r="C83" s="743"/>
      <c r="D83" s="743"/>
      <c r="E83" s="743"/>
      <c r="F83" s="743"/>
      <c r="G83" s="744"/>
      <c r="H83" s="743"/>
      <c r="I83" s="743"/>
      <c r="J83" s="743"/>
      <c r="K83" s="743"/>
      <c r="L83" s="786"/>
      <c r="M83" s="782"/>
      <c r="N83" s="743"/>
      <c r="O83" s="746"/>
      <c r="Q83" s="741"/>
      <c r="R83" s="675"/>
      <c r="S83" s="216" t="str">
        <f t="array" ref="S83">IFERROR(INDEX('💻シート作成'!$D$6:$D1001, MATCH(T83, '💻シート作成'!$E$6:$E1001, 0)), "")</f>
        <v/>
      </c>
      <c r="T83" s="168"/>
      <c r="U83" s="678"/>
      <c r="V83" s="728"/>
      <c r="W83" s="675"/>
      <c r="X83" s="770"/>
      <c r="Y83" s="675"/>
      <c r="Z83" s="675"/>
    </row>
    <row r="84" hidden="1" outlineLevel="1">
      <c r="A84" s="675"/>
      <c r="B84" s="742"/>
      <c r="C84" s="743"/>
      <c r="D84" s="743"/>
      <c r="E84" s="743"/>
      <c r="F84" s="743"/>
      <c r="G84" s="744"/>
      <c r="H84" s="743"/>
      <c r="I84" s="743"/>
      <c r="J84" s="743"/>
      <c r="K84" s="743"/>
      <c r="L84" s="786"/>
      <c r="M84" s="782"/>
      <c r="N84" s="743"/>
      <c r="O84" s="746"/>
      <c r="Q84" s="741"/>
      <c r="R84" s="675"/>
      <c r="S84" s="216" t="str">
        <f t="array" ref="S84">IFERROR(INDEX('💻シート作成'!$D$6:$D1001, MATCH(T84, '💻シート作成'!$E$6:$E1001, 0)), "")</f>
        <v/>
      </c>
      <c r="T84" s="168"/>
      <c r="U84" s="678"/>
      <c r="V84" s="728"/>
      <c r="W84" s="675"/>
      <c r="X84" s="770"/>
      <c r="Y84" s="675"/>
      <c r="Z84" s="675"/>
    </row>
    <row r="85" hidden="1" outlineLevel="1">
      <c r="A85" s="675"/>
      <c r="B85" s="742"/>
      <c r="C85" s="743"/>
      <c r="D85" s="743"/>
      <c r="E85" s="743"/>
      <c r="F85" s="710"/>
      <c r="G85" s="711"/>
      <c r="H85" s="710"/>
      <c r="I85" s="710"/>
      <c r="J85" s="710"/>
      <c r="K85" s="710"/>
      <c r="L85" s="786"/>
      <c r="M85" s="782"/>
      <c r="N85" s="710"/>
      <c r="O85" s="713"/>
      <c r="P85" s="714"/>
      <c r="Q85" s="750"/>
      <c r="R85" s="675"/>
      <c r="S85" s="216" t="str">
        <f t="array" ref="S85">IFERROR(INDEX('💻シート作成'!$D$6:$D1001, MATCH(T85, '💻シート作成'!$E$6:$E1001, 0)), "")</f>
        <v/>
      </c>
      <c r="T85" s="168"/>
      <c r="U85" s="678"/>
      <c r="V85" s="728"/>
      <c r="W85" s="675"/>
      <c r="X85" s="770"/>
      <c r="Y85" s="675"/>
      <c r="Z85" s="675"/>
    </row>
    <row r="86" hidden="1" outlineLevel="1">
      <c r="A86" s="675"/>
      <c r="B86" s="751"/>
      <c r="C86" s="710"/>
      <c r="D86" s="710"/>
      <c r="E86" s="710"/>
      <c r="F86" s="752" t="s">
        <v>528</v>
      </c>
      <c r="G86" s="753"/>
      <c r="H86" s="754"/>
      <c r="I86" s="754"/>
      <c r="J86" s="754"/>
      <c r="K86" s="754"/>
      <c r="L86" s="753"/>
      <c r="M86" s="753"/>
      <c r="N86" s="753"/>
      <c r="O86" s="753"/>
      <c r="P86" s="753"/>
      <c r="Q86" s="755"/>
      <c r="R86" s="675"/>
      <c r="S86" s="216" t="str">
        <f t="array" ref="S86">IFERROR(INDEX('💻シート作成'!$D$6:$D1001, MATCH(T86, '💻シート作成'!$E$6:$E1001, 0)), "")</f>
        <v/>
      </c>
      <c r="T86" s="168"/>
      <c r="U86" s="678"/>
      <c r="V86" s="728"/>
      <c r="W86" s="675"/>
      <c r="X86" s="770"/>
      <c r="Y86" s="675"/>
      <c r="Z86" s="675"/>
    </row>
    <row r="87" hidden="1" outlineLevel="1">
      <c r="A87" s="675"/>
      <c r="B87" s="756"/>
      <c r="C87" s="757">
        <f>IF(C76="","",IF(DAY(C76+1)=1,"",C76+1))</f>
        <v>46061</v>
      </c>
      <c r="D87" s="758" t="str">
        <f>TEXT(C87,"ddd")</f>
        <v>日</v>
      </c>
      <c r="E87" s="759"/>
      <c r="F87" s="787" t="s">
        <v>527</v>
      </c>
      <c r="G87" s="788"/>
      <c r="H87" s="789"/>
      <c r="I87" s="790">
        <v>0.0</v>
      </c>
      <c r="J87" s="758"/>
      <c r="K87" s="758"/>
      <c r="L87" s="768"/>
      <c r="M87" s="768"/>
      <c r="N87" s="787"/>
      <c r="O87" s="791"/>
      <c r="P87" s="784"/>
      <c r="Q87" s="785"/>
      <c r="R87" s="675"/>
      <c r="S87" s="216" t="str">
        <f t="array" ref="S87">IFERROR(INDEX('💻シート作成'!$D$6:$D1001, MATCH(T87, '💻シート作成'!$E$6:$E1001, 0)), "")</f>
        <v/>
      </c>
      <c r="T87" s="168"/>
      <c r="U87" s="678"/>
      <c r="V87" s="728"/>
      <c r="W87" s="675"/>
      <c r="X87" s="770"/>
      <c r="Y87" s="675"/>
      <c r="Z87" s="675"/>
    </row>
    <row r="88" hidden="1" outlineLevel="1">
      <c r="A88" s="675"/>
      <c r="B88" s="742"/>
      <c r="C88" s="743"/>
      <c r="D88" s="743"/>
      <c r="E88" s="743"/>
      <c r="F88" s="743"/>
      <c r="G88" s="744"/>
      <c r="H88" s="743"/>
      <c r="I88" s="743"/>
      <c r="J88" s="743"/>
      <c r="K88" s="743"/>
      <c r="L88" s="768"/>
      <c r="M88" s="768"/>
      <c r="N88" s="743"/>
      <c r="O88" s="746"/>
      <c r="Q88" s="741"/>
      <c r="R88" s="675"/>
      <c r="S88" s="216" t="str">
        <f t="array" ref="S88">IFERROR(INDEX('💻シート作成'!$D$6:$D1001, MATCH(T88, '💻シート作成'!$E$6:$E1001, 0)), "")</f>
        <v/>
      </c>
      <c r="T88" s="168"/>
      <c r="U88" s="678"/>
      <c r="V88" s="728"/>
      <c r="W88" s="675"/>
      <c r="X88" s="770"/>
      <c r="Y88" s="675"/>
      <c r="Z88" s="675"/>
    </row>
    <row r="89" hidden="1" outlineLevel="1">
      <c r="A89" s="675"/>
      <c r="B89" s="742"/>
      <c r="C89" s="743"/>
      <c r="D89" s="743"/>
      <c r="E89" s="743"/>
      <c r="F89" s="743"/>
      <c r="G89" s="744"/>
      <c r="H89" s="743"/>
      <c r="I89" s="743"/>
      <c r="J89" s="743"/>
      <c r="K89" s="743"/>
      <c r="L89" s="768"/>
      <c r="M89" s="768"/>
      <c r="N89" s="743"/>
      <c r="O89" s="746"/>
      <c r="Q89" s="741"/>
      <c r="R89" s="675"/>
      <c r="S89" s="216" t="str">
        <f t="array" ref="S89">IFERROR(INDEX('💻シート作成'!$D$6:$D1001, MATCH(T89, '💻シート作成'!$E$6:$E1001, 0)), "")</f>
        <v/>
      </c>
      <c r="T89" s="168"/>
      <c r="U89" s="678"/>
      <c r="V89" s="728"/>
      <c r="W89" s="675"/>
      <c r="X89" s="770"/>
      <c r="Y89" s="675"/>
      <c r="Z89" s="675"/>
    </row>
    <row r="90" hidden="1" outlineLevel="1">
      <c r="A90" s="675"/>
      <c r="B90" s="742"/>
      <c r="C90" s="743"/>
      <c r="D90" s="743"/>
      <c r="E90" s="743"/>
      <c r="F90" s="743"/>
      <c r="G90" s="744"/>
      <c r="H90" s="743"/>
      <c r="I90" s="743"/>
      <c r="J90" s="743"/>
      <c r="K90" s="743"/>
      <c r="L90" s="769"/>
      <c r="M90" s="768"/>
      <c r="N90" s="743"/>
      <c r="O90" s="746"/>
      <c r="Q90" s="741"/>
      <c r="R90" s="675"/>
      <c r="S90" s="216" t="str">
        <f t="array" ref="S90">IFERROR(INDEX('💻シート作成'!$D$6:$D1001, MATCH(T90, '💻シート作成'!$E$6:$E1001, 0)), "")</f>
        <v/>
      </c>
      <c r="T90" s="168"/>
      <c r="U90" s="678"/>
      <c r="V90" s="728"/>
      <c r="W90" s="675"/>
      <c r="X90" s="770"/>
      <c r="Y90" s="675"/>
      <c r="Z90" s="675"/>
    </row>
    <row r="91" hidden="1" outlineLevel="1">
      <c r="A91" s="675"/>
      <c r="B91" s="742"/>
      <c r="C91" s="743"/>
      <c r="D91" s="743"/>
      <c r="E91" s="743"/>
      <c r="F91" s="743"/>
      <c r="G91" s="744"/>
      <c r="H91" s="743"/>
      <c r="I91" s="743"/>
      <c r="J91" s="743"/>
      <c r="K91" s="743"/>
      <c r="L91" s="769"/>
      <c r="M91" s="768"/>
      <c r="N91" s="743"/>
      <c r="O91" s="746"/>
      <c r="Q91" s="741"/>
      <c r="R91" s="675"/>
      <c r="S91" s="216" t="str">
        <f t="array" ref="S91">IFERROR(INDEX('💻シート作成'!$D$6:$D1001, MATCH(T91, '💻シート作成'!$E$6:$E1001, 0)), "")</f>
        <v/>
      </c>
      <c r="T91" s="168"/>
      <c r="U91" s="678"/>
      <c r="V91" s="728"/>
      <c r="W91" s="675"/>
      <c r="X91" s="770"/>
      <c r="Y91" s="675"/>
      <c r="Z91" s="675"/>
    </row>
    <row r="92" hidden="1" outlineLevel="1">
      <c r="A92" s="675"/>
      <c r="B92" s="742"/>
      <c r="C92" s="743"/>
      <c r="D92" s="743"/>
      <c r="E92" s="743"/>
      <c r="F92" s="743"/>
      <c r="G92" s="744"/>
      <c r="H92" s="743"/>
      <c r="I92" s="743"/>
      <c r="J92" s="743"/>
      <c r="K92" s="743"/>
      <c r="L92" s="769"/>
      <c r="M92" s="768"/>
      <c r="N92" s="743"/>
      <c r="O92" s="746"/>
      <c r="Q92" s="741"/>
      <c r="R92" s="675"/>
      <c r="S92" s="216" t="str">
        <f t="array" ref="S92">IFERROR(INDEX('💻シート作成'!$D$6:$D1001, MATCH(T92, '💻シート作成'!$E$6:$E1001, 0)), "")</f>
        <v/>
      </c>
      <c r="T92" s="168"/>
      <c r="U92" s="678"/>
      <c r="V92" s="728"/>
      <c r="W92" s="675"/>
      <c r="X92" s="770"/>
      <c r="Y92" s="675"/>
      <c r="Z92" s="675"/>
    </row>
    <row r="93" hidden="1" outlineLevel="1">
      <c r="A93" s="675"/>
      <c r="B93" s="742"/>
      <c r="C93" s="743"/>
      <c r="D93" s="743"/>
      <c r="E93" s="743"/>
      <c r="F93" s="743"/>
      <c r="G93" s="744"/>
      <c r="H93" s="743"/>
      <c r="I93" s="743"/>
      <c r="J93" s="743"/>
      <c r="K93" s="743"/>
      <c r="L93" s="769"/>
      <c r="M93" s="768"/>
      <c r="N93" s="743"/>
      <c r="O93" s="746"/>
      <c r="Q93" s="741"/>
      <c r="R93" s="675"/>
      <c r="S93" s="216" t="str">
        <f t="array" ref="S93">IFERROR(INDEX('💻シート作成'!$D$6:$D1001, MATCH(T93, '💻シート作成'!$E$6:$E1001, 0)), "")</f>
        <v/>
      </c>
      <c r="T93" s="168"/>
      <c r="U93" s="678"/>
      <c r="V93" s="728"/>
      <c r="W93" s="675"/>
      <c r="X93" s="770"/>
      <c r="Y93" s="675"/>
      <c r="Z93" s="675"/>
    </row>
    <row r="94" hidden="1" outlineLevel="1">
      <c r="A94" s="675"/>
      <c r="B94" s="742"/>
      <c r="C94" s="743"/>
      <c r="D94" s="743"/>
      <c r="E94" s="743"/>
      <c r="F94" s="743"/>
      <c r="G94" s="744"/>
      <c r="H94" s="743"/>
      <c r="I94" s="743"/>
      <c r="J94" s="743"/>
      <c r="K94" s="743"/>
      <c r="L94" s="769"/>
      <c r="M94" s="768"/>
      <c r="N94" s="743"/>
      <c r="O94" s="746"/>
      <c r="Q94" s="741"/>
      <c r="R94" s="675"/>
      <c r="S94" s="216" t="str">
        <f t="array" ref="S94">IFERROR(INDEX('💻シート作成'!$D$6:$D1001, MATCH(T94, '💻シート作成'!$E$6:$E1001, 0)), "")</f>
        <v/>
      </c>
      <c r="T94" s="168"/>
      <c r="U94" s="678"/>
      <c r="V94" s="728"/>
      <c r="W94" s="675"/>
      <c r="X94" s="770"/>
      <c r="Y94" s="675"/>
      <c r="Z94" s="675"/>
    </row>
    <row r="95" hidden="1" outlineLevel="1">
      <c r="A95" s="675"/>
      <c r="B95" s="742"/>
      <c r="C95" s="743"/>
      <c r="D95" s="743"/>
      <c r="E95" s="743"/>
      <c r="F95" s="743"/>
      <c r="G95" s="744"/>
      <c r="H95" s="743"/>
      <c r="I95" s="743"/>
      <c r="J95" s="743"/>
      <c r="K95" s="743"/>
      <c r="L95" s="769"/>
      <c r="M95" s="768"/>
      <c r="N95" s="743"/>
      <c r="O95" s="746"/>
      <c r="Q95" s="741"/>
      <c r="R95" s="675"/>
      <c r="S95" s="216" t="str">
        <f t="array" ref="S95">IFERROR(INDEX('💻シート作成'!$D$6:$D1001, MATCH(T95, '💻シート作成'!$E$6:$E1001, 0)), "")</f>
        <v/>
      </c>
      <c r="T95" s="168"/>
      <c r="U95" s="678"/>
      <c r="V95" s="728"/>
      <c r="W95" s="675"/>
      <c r="X95" s="770"/>
      <c r="Y95" s="675"/>
      <c r="Z95" s="675"/>
    </row>
    <row r="96" hidden="1" outlineLevel="1">
      <c r="A96" s="675"/>
      <c r="B96" s="742"/>
      <c r="C96" s="743"/>
      <c r="D96" s="743"/>
      <c r="E96" s="743"/>
      <c r="F96" s="710"/>
      <c r="G96" s="711"/>
      <c r="H96" s="710"/>
      <c r="I96" s="710"/>
      <c r="J96" s="710"/>
      <c r="K96" s="710"/>
      <c r="L96" s="769"/>
      <c r="M96" s="768"/>
      <c r="N96" s="710"/>
      <c r="O96" s="713"/>
      <c r="P96" s="714"/>
      <c r="Q96" s="750"/>
      <c r="R96" s="675"/>
      <c r="S96" s="216" t="str">
        <f t="array" ref="S96">IFERROR(INDEX('💻シート作成'!$D$6:$D1001, MATCH(T96, '💻シート作成'!$E$6:$E1001, 0)), "")</f>
        <v/>
      </c>
      <c r="T96" s="168"/>
      <c r="U96" s="678"/>
      <c r="V96" s="728"/>
      <c r="W96" s="675"/>
      <c r="X96" s="770"/>
      <c r="Y96" s="675"/>
      <c r="Z96" s="675"/>
    </row>
    <row r="97" hidden="1" outlineLevel="1">
      <c r="A97" s="675"/>
      <c r="B97" s="751"/>
      <c r="C97" s="710"/>
      <c r="D97" s="710"/>
      <c r="E97" s="710"/>
      <c r="F97" s="771" t="s">
        <v>528</v>
      </c>
      <c r="G97" s="772"/>
      <c r="H97" s="754"/>
      <c r="I97" s="754"/>
      <c r="J97" s="754"/>
      <c r="K97" s="754"/>
      <c r="L97" s="772"/>
      <c r="M97" s="772"/>
      <c r="N97" s="772"/>
      <c r="O97" s="772"/>
      <c r="P97" s="772"/>
      <c r="Q97" s="773"/>
      <c r="R97" s="675"/>
      <c r="S97" s="216" t="str">
        <f t="array" ref="S97">IFERROR(INDEX('💻シート作成'!$D$6:$D1001, MATCH(T97, '💻シート作成'!$E$6:$E1001, 0)), "")</f>
        <v/>
      </c>
      <c r="T97" s="168"/>
      <c r="U97" s="678"/>
      <c r="V97" s="728"/>
      <c r="W97" s="675"/>
      <c r="X97" s="770"/>
      <c r="Y97" s="675"/>
      <c r="Z97" s="675"/>
    </row>
    <row r="98" hidden="1" outlineLevel="1">
      <c r="A98" s="675"/>
      <c r="B98" s="774"/>
      <c r="C98" s="775">
        <f>IF(C87="","",IF(DAY(C87+1)=1,"",C87+1))</f>
        <v>46062</v>
      </c>
      <c r="D98" s="776" t="str">
        <f>TEXT(C98,"ddd")</f>
        <v>月</v>
      </c>
      <c r="E98" s="777"/>
      <c r="F98" s="778" t="s">
        <v>527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28"/>
      <c r="W98" s="675"/>
      <c r="X98" s="770"/>
      <c r="Y98" s="675"/>
      <c r="Z98" s="675"/>
    </row>
    <row r="99" hidden="1" outlineLevel="1">
      <c r="A99" s="675"/>
      <c r="B99" s="742"/>
      <c r="C99" s="743"/>
      <c r="D99" s="743"/>
      <c r="E99" s="743"/>
      <c r="F99" s="743"/>
      <c r="G99" s="744"/>
      <c r="H99" s="743"/>
      <c r="I99" s="743"/>
      <c r="J99" s="743"/>
      <c r="K99" s="743"/>
      <c r="L99" s="782"/>
      <c r="M99" s="782"/>
      <c r="N99" s="743"/>
      <c r="O99" s="746"/>
      <c r="Q99" s="741"/>
      <c r="R99" s="675"/>
      <c r="S99" s="216" t="str">
        <f t="array" ref="S99">IFERROR(INDEX('💻シート作成'!$D$6:$D1001, MATCH(T99, '💻シート作成'!$E$6:$E1001, 0)), "")</f>
        <v/>
      </c>
      <c r="T99" s="168"/>
      <c r="U99" s="678"/>
      <c r="V99" s="728"/>
      <c r="W99" s="675"/>
      <c r="X99" s="770"/>
      <c r="Y99" s="675"/>
      <c r="Z99" s="675"/>
    </row>
    <row r="100" hidden="1" outlineLevel="1">
      <c r="A100" s="675"/>
      <c r="B100" s="742"/>
      <c r="C100" s="743"/>
      <c r="D100" s="743"/>
      <c r="E100" s="743"/>
      <c r="F100" s="743"/>
      <c r="G100" s="744"/>
      <c r="H100" s="743"/>
      <c r="I100" s="743"/>
      <c r="J100" s="743"/>
      <c r="K100" s="743"/>
      <c r="L100" s="782"/>
      <c r="M100" s="782"/>
      <c r="N100" s="743"/>
      <c r="O100" s="746"/>
      <c r="Q100" s="741"/>
      <c r="R100" s="675"/>
      <c r="S100" s="216" t="str">
        <f t="array" ref="S100">IFERROR(INDEX('💻シート作成'!$D$6:$D1001, MATCH(T100, '💻シート作成'!$E$6:$E1001, 0)), "")</f>
        <v/>
      </c>
      <c r="T100" s="168"/>
      <c r="U100" s="678"/>
      <c r="V100" s="728"/>
      <c r="W100" s="675"/>
      <c r="X100" s="770"/>
      <c r="Y100" s="675"/>
      <c r="Z100" s="675"/>
    </row>
    <row r="101" hidden="1" outlineLevel="1">
      <c r="A101" s="675"/>
      <c r="B101" s="742"/>
      <c r="C101" s="743"/>
      <c r="D101" s="743"/>
      <c r="E101" s="743"/>
      <c r="F101" s="743"/>
      <c r="G101" s="744"/>
      <c r="H101" s="743"/>
      <c r="I101" s="743"/>
      <c r="J101" s="743"/>
      <c r="K101" s="743"/>
      <c r="L101" s="786"/>
      <c r="M101" s="782"/>
      <c r="N101" s="743"/>
      <c r="O101" s="746"/>
      <c r="Q101" s="741"/>
      <c r="R101" s="675"/>
      <c r="S101" s="216" t="str">
        <f t="array" ref="S101">IFERROR(INDEX('💻シート作成'!$D$6:$D1001, MATCH(T101, '💻シート作成'!$E$6:$E1001, 0)), "")</f>
        <v/>
      </c>
      <c r="T101" s="168"/>
      <c r="U101" s="678"/>
      <c r="V101" s="728"/>
      <c r="W101" s="675"/>
      <c r="X101" s="770"/>
      <c r="Y101" s="675"/>
      <c r="Z101" s="675"/>
    </row>
    <row r="102" hidden="1" outlineLevel="1">
      <c r="A102" s="675"/>
      <c r="B102" s="742"/>
      <c r="C102" s="743"/>
      <c r="D102" s="743"/>
      <c r="E102" s="743"/>
      <c r="F102" s="743"/>
      <c r="G102" s="744"/>
      <c r="H102" s="743"/>
      <c r="I102" s="743"/>
      <c r="J102" s="743"/>
      <c r="K102" s="743"/>
      <c r="L102" s="786"/>
      <c r="M102" s="782"/>
      <c r="N102" s="743"/>
      <c r="O102" s="746"/>
      <c r="Q102" s="741"/>
      <c r="R102" s="675"/>
      <c r="S102" s="216" t="str">
        <f t="array" ref="S102">IFERROR(INDEX('💻シート作成'!$D$6:$D1001, MATCH(T102, '💻シート作成'!$E$6:$E1001, 0)), "")</f>
        <v/>
      </c>
      <c r="T102" s="168"/>
      <c r="U102" s="678"/>
      <c r="V102" s="728"/>
      <c r="W102" s="675"/>
      <c r="X102" s="770"/>
      <c r="Y102" s="675"/>
      <c r="Z102" s="675"/>
    </row>
    <row r="103" hidden="1" outlineLevel="1">
      <c r="A103" s="675"/>
      <c r="B103" s="742"/>
      <c r="C103" s="743"/>
      <c r="D103" s="743"/>
      <c r="E103" s="743"/>
      <c r="F103" s="743"/>
      <c r="G103" s="744"/>
      <c r="H103" s="743"/>
      <c r="I103" s="743"/>
      <c r="J103" s="743"/>
      <c r="K103" s="743"/>
      <c r="L103" s="786"/>
      <c r="M103" s="782"/>
      <c r="N103" s="743"/>
      <c r="O103" s="746"/>
      <c r="Q103" s="741"/>
      <c r="R103" s="675"/>
      <c r="S103" s="216" t="str">
        <f t="array" ref="S103">IFERROR(INDEX('💻シート作成'!$D$6:$D1001, MATCH(T103, '💻シート作成'!$E$6:$E1001, 0)), "")</f>
        <v/>
      </c>
      <c r="T103" s="168"/>
      <c r="U103" s="678"/>
      <c r="V103" s="728"/>
      <c r="W103" s="675"/>
      <c r="X103" s="770"/>
      <c r="Y103" s="675"/>
      <c r="Z103" s="675"/>
    </row>
    <row r="104" hidden="1" outlineLevel="1">
      <c r="A104" s="675"/>
      <c r="B104" s="742"/>
      <c r="C104" s="743"/>
      <c r="D104" s="743"/>
      <c r="E104" s="743"/>
      <c r="F104" s="743"/>
      <c r="G104" s="744"/>
      <c r="H104" s="743"/>
      <c r="I104" s="743"/>
      <c r="J104" s="743"/>
      <c r="K104" s="743"/>
      <c r="L104" s="786"/>
      <c r="M104" s="782"/>
      <c r="N104" s="743"/>
      <c r="O104" s="746"/>
      <c r="Q104" s="741"/>
      <c r="R104" s="675"/>
      <c r="S104" s="216" t="str">
        <f t="array" ref="S104">IFERROR(INDEX('💻シート作成'!$D$6:$D1001, MATCH(T104, '💻シート作成'!$E$6:$E1001, 0)), "")</f>
        <v/>
      </c>
      <c r="T104" s="168"/>
      <c r="U104" s="678"/>
      <c r="V104" s="728"/>
      <c r="W104" s="675"/>
      <c r="X104" s="770"/>
      <c r="Y104" s="675"/>
      <c r="Z104" s="675"/>
    </row>
    <row r="105" hidden="1" outlineLevel="1">
      <c r="A105" s="675"/>
      <c r="B105" s="742"/>
      <c r="C105" s="743"/>
      <c r="D105" s="743"/>
      <c r="E105" s="743"/>
      <c r="F105" s="743"/>
      <c r="G105" s="744"/>
      <c r="H105" s="743"/>
      <c r="I105" s="743"/>
      <c r="J105" s="743"/>
      <c r="K105" s="743"/>
      <c r="L105" s="786"/>
      <c r="M105" s="782"/>
      <c r="N105" s="743"/>
      <c r="O105" s="746"/>
      <c r="Q105" s="741"/>
      <c r="R105" s="675"/>
      <c r="S105" s="216" t="str">
        <f t="array" ref="S105">IFERROR(INDEX('💻シート作成'!$D$6:$D1001, MATCH(T105, '💻シート作成'!$E$6:$E1001, 0)), "")</f>
        <v/>
      </c>
      <c r="T105" s="168"/>
      <c r="U105" s="678"/>
      <c r="V105" s="728"/>
      <c r="W105" s="675"/>
      <c r="X105" s="770"/>
      <c r="Y105" s="675"/>
      <c r="Z105" s="675"/>
    </row>
    <row r="106" hidden="1" outlineLevel="1">
      <c r="A106" s="675"/>
      <c r="B106" s="742"/>
      <c r="C106" s="743"/>
      <c r="D106" s="743"/>
      <c r="E106" s="743"/>
      <c r="F106" s="743"/>
      <c r="G106" s="744"/>
      <c r="H106" s="743"/>
      <c r="I106" s="743"/>
      <c r="J106" s="743"/>
      <c r="K106" s="743"/>
      <c r="L106" s="786"/>
      <c r="M106" s="782"/>
      <c r="N106" s="743"/>
      <c r="O106" s="746"/>
      <c r="Q106" s="741"/>
      <c r="R106" s="675"/>
      <c r="S106" s="216" t="str">
        <f t="array" ref="S106">IFERROR(INDEX('💻シート作成'!$D$6:$D1001, MATCH(T106, '💻シート作成'!$E$6:$E1001, 0)), "")</f>
        <v/>
      </c>
      <c r="T106" s="168"/>
      <c r="U106" s="678"/>
      <c r="V106" s="728"/>
      <c r="W106" s="675"/>
      <c r="X106" s="770"/>
      <c r="Y106" s="675"/>
      <c r="Z106" s="675"/>
    </row>
    <row r="107" hidden="1" outlineLevel="1">
      <c r="A107" s="675"/>
      <c r="B107" s="742"/>
      <c r="C107" s="743"/>
      <c r="D107" s="743"/>
      <c r="E107" s="743"/>
      <c r="F107" s="710"/>
      <c r="G107" s="711"/>
      <c r="H107" s="710"/>
      <c r="I107" s="710"/>
      <c r="J107" s="710"/>
      <c r="K107" s="710"/>
      <c r="L107" s="786"/>
      <c r="M107" s="782"/>
      <c r="N107" s="710"/>
      <c r="O107" s="713"/>
      <c r="P107" s="714"/>
      <c r="Q107" s="750"/>
      <c r="R107" s="675"/>
      <c r="S107" s="216" t="str">
        <f t="array" ref="S107">IFERROR(INDEX('💻シート作成'!$D$6:$D1001, MATCH(T107, '💻シート作成'!$E$6:$E1001, 0)), "")</f>
        <v/>
      </c>
      <c r="T107" s="168"/>
      <c r="U107" s="678"/>
      <c r="V107" s="728"/>
      <c r="W107" s="675"/>
      <c r="X107" s="770"/>
      <c r="Y107" s="675"/>
      <c r="Z107" s="675"/>
    </row>
    <row r="108" hidden="1" outlineLevel="1">
      <c r="A108" s="675"/>
      <c r="B108" s="751"/>
      <c r="C108" s="710"/>
      <c r="D108" s="710"/>
      <c r="E108" s="710"/>
      <c r="F108" s="752" t="s">
        <v>528</v>
      </c>
      <c r="G108" s="753"/>
      <c r="H108" s="754"/>
      <c r="I108" s="754"/>
      <c r="J108" s="754"/>
      <c r="K108" s="754"/>
      <c r="L108" s="753"/>
      <c r="M108" s="753"/>
      <c r="N108" s="753"/>
      <c r="O108" s="753"/>
      <c r="P108" s="753"/>
      <c r="Q108" s="755"/>
      <c r="R108" s="675"/>
      <c r="S108" s="216" t="str">
        <f t="array" ref="S108">IFERROR(INDEX('💻シート作成'!$D$6:$D1001, MATCH(T108, '💻シート作成'!$E$6:$E1001, 0)), "")</f>
        <v/>
      </c>
      <c r="T108" s="172"/>
      <c r="U108" s="678"/>
      <c r="V108" s="728"/>
      <c r="W108" s="675"/>
      <c r="X108" s="770"/>
      <c r="Y108" s="675"/>
      <c r="Z108" s="675"/>
    </row>
    <row r="109" hidden="1" outlineLevel="1">
      <c r="A109" s="675"/>
      <c r="B109" s="756"/>
      <c r="C109" s="757">
        <f>IF(C98="","",IF(DAY(C98+1)=1,"",C98+1))</f>
        <v>46063</v>
      </c>
      <c r="D109" s="758" t="str">
        <f>TEXT(C109,"ddd")</f>
        <v>火</v>
      </c>
      <c r="E109" s="759"/>
      <c r="F109" s="787" t="s">
        <v>527</v>
      </c>
      <c r="G109" s="788"/>
      <c r="H109" s="789"/>
      <c r="I109" s="790">
        <v>0.0</v>
      </c>
      <c r="J109" s="758"/>
      <c r="K109" s="758"/>
      <c r="L109" s="768"/>
      <c r="M109" s="768"/>
      <c r="N109" s="787"/>
      <c r="O109" s="791"/>
      <c r="P109" s="784"/>
      <c r="Q109" s="785"/>
      <c r="R109" s="675"/>
      <c r="S109" s="216" t="str">
        <f t="array" ref="S109">IFERROR(INDEX('💻シート作成'!$D$6:$D1001, MATCH(T109, '💻シート作成'!$E$6:$E1001, 0)), "")</f>
        <v/>
      </c>
      <c r="T109" s="168"/>
      <c r="U109" s="678"/>
      <c r="V109" s="728"/>
      <c r="W109" s="675"/>
      <c r="X109" s="770"/>
      <c r="Y109" s="675"/>
      <c r="Z109" s="675"/>
    </row>
    <row r="110" hidden="1" outlineLevel="1">
      <c r="A110" s="675"/>
      <c r="B110" s="742"/>
      <c r="C110" s="743"/>
      <c r="D110" s="743"/>
      <c r="E110" s="743"/>
      <c r="F110" s="743"/>
      <c r="G110" s="744"/>
      <c r="H110" s="743"/>
      <c r="I110" s="743"/>
      <c r="J110" s="743"/>
      <c r="K110" s="743"/>
      <c r="L110" s="768"/>
      <c r="M110" s="768"/>
      <c r="N110" s="743"/>
      <c r="O110" s="746"/>
      <c r="Q110" s="741"/>
      <c r="R110" s="675"/>
      <c r="S110" s="216" t="str">
        <f t="array" ref="S110">IFERROR(INDEX('💻シート作成'!$D$6:$D1001, MATCH(T110, '💻シート作成'!$E$6:$E1001, 0)), "")</f>
        <v/>
      </c>
      <c r="T110" s="172"/>
      <c r="U110" s="678"/>
      <c r="V110" s="728"/>
      <c r="W110" s="675"/>
      <c r="X110" s="770"/>
      <c r="Y110" s="675"/>
      <c r="Z110" s="675"/>
    </row>
    <row r="111" hidden="1" outlineLevel="1">
      <c r="A111" s="675"/>
      <c r="B111" s="742"/>
      <c r="C111" s="743"/>
      <c r="D111" s="743"/>
      <c r="E111" s="743"/>
      <c r="F111" s="743"/>
      <c r="G111" s="744"/>
      <c r="H111" s="743"/>
      <c r="I111" s="743"/>
      <c r="J111" s="743"/>
      <c r="K111" s="743"/>
      <c r="L111" s="768"/>
      <c r="M111" s="768"/>
      <c r="N111" s="743"/>
      <c r="O111" s="746"/>
      <c r="Q111" s="741"/>
      <c r="R111" s="675"/>
      <c r="S111" s="216" t="str">
        <f t="array" ref="S111">IFERROR(INDEX('💻シート作成'!$D$6:$D1001, MATCH(T111, '💻シート作成'!$E$6:$E1001, 0)), "")</f>
        <v/>
      </c>
      <c r="T111" s="172"/>
      <c r="U111" s="678"/>
      <c r="V111" s="728"/>
      <c r="W111" s="675"/>
      <c r="X111" s="770"/>
      <c r="Y111" s="675"/>
      <c r="Z111" s="675"/>
    </row>
    <row r="112" hidden="1" outlineLevel="1">
      <c r="A112" s="675"/>
      <c r="B112" s="742"/>
      <c r="C112" s="743"/>
      <c r="D112" s="743"/>
      <c r="E112" s="743"/>
      <c r="F112" s="743"/>
      <c r="G112" s="744"/>
      <c r="H112" s="743"/>
      <c r="I112" s="743"/>
      <c r="J112" s="743"/>
      <c r="K112" s="743"/>
      <c r="L112" s="769"/>
      <c r="M112" s="768"/>
      <c r="N112" s="743"/>
      <c r="O112" s="746"/>
      <c r="Q112" s="741"/>
      <c r="R112" s="675"/>
      <c r="S112" s="216" t="str">
        <f t="array" ref="S112">IFERROR(INDEX('💻シート作成'!$D$6:$D1001, MATCH(T112, '💻シート作成'!$E$6:$E1001, 0)), "")</f>
        <v/>
      </c>
      <c r="T112" s="172"/>
      <c r="U112" s="678"/>
      <c r="V112" s="728"/>
      <c r="W112" s="675"/>
      <c r="X112" s="770"/>
      <c r="Y112" s="675"/>
      <c r="Z112" s="675"/>
    </row>
    <row r="113" hidden="1" outlineLevel="1">
      <c r="A113" s="675"/>
      <c r="B113" s="742"/>
      <c r="C113" s="743"/>
      <c r="D113" s="743"/>
      <c r="E113" s="743"/>
      <c r="F113" s="743"/>
      <c r="G113" s="744"/>
      <c r="H113" s="743"/>
      <c r="I113" s="743"/>
      <c r="J113" s="743"/>
      <c r="K113" s="743"/>
      <c r="L113" s="769"/>
      <c r="M113" s="768"/>
      <c r="N113" s="743"/>
      <c r="O113" s="746"/>
      <c r="Q113" s="741"/>
      <c r="R113" s="675"/>
      <c r="S113" s="216" t="str">
        <f t="array" ref="S113">IFERROR(INDEX('💻シート作成'!$D$6:$D1001, MATCH(T113, '💻シート作成'!$E$6:$E1001, 0)), "")</f>
        <v/>
      </c>
      <c r="T113" s="172"/>
      <c r="U113" s="678"/>
      <c r="V113" s="728"/>
      <c r="W113" s="675"/>
      <c r="X113" s="770"/>
      <c r="Y113" s="675"/>
      <c r="Z113" s="675"/>
    </row>
    <row r="114" hidden="1" outlineLevel="1">
      <c r="A114" s="675"/>
      <c r="B114" s="742"/>
      <c r="C114" s="743"/>
      <c r="D114" s="743"/>
      <c r="E114" s="743"/>
      <c r="F114" s="743"/>
      <c r="G114" s="744"/>
      <c r="H114" s="743"/>
      <c r="I114" s="743"/>
      <c r="J114" s="743"/>
      <c r="K114" s="743"/>
      <c r="L114" s="769"/>
      <c r="M114" s="768"/>
      <c r="N114" s="743"/>
      <c r="O114" s="746"/>
      <c r="Q114" s="741"/>
      <c r="R114" s="675"/>
      <c r="S114" s="216" t="str">
        <f t="array" ref="S114">IFERROR(INDEX('💻シート作成'!$D$6:$D1001, MATCH(T114, '💻シート作成'!$E$6:$E1001, 0)), "")</f>
        <v/>
      </c>
      <c r="T114" s="172"/>
      <c r="U114" s="678"/>
      <c r="V114" s="728"/>
      <c r="W114" s="675"/>
      <c r="X114" s="770"/>
      <c r="Y114" s="675"/>
      <c r="Z114" s="675"/>
    </row>
    <row r="115" hidden="1" outlineLevel="1">
      <c r="A115" s="675"/>
      <c r="B115" s="742"/>
      <c r="C115" s="743"/>
      <c r="D115" s="743"/>
      <c r="E115" s="743"/>
      <c r="F115" s="743"/>
      <c r="G115" s="744"/>
      <c r="H115" s="743"/>
      <c r="I115" s="743"/>
      <c r="J115" s="743"/>
      <c r="K115" s="743"/>
      <c r="L115" s="769"/>
      <c r="M115" s="768"/>
      <c r="N115" s="743"/>
      <c r="O115" s="746"/>
      <c r="Q115" s="741"/>
      <c r="R115" s="675"/>
      <c r="S115" s="216" t="str">
        <f t="array" ref="S115">IFERROR(INDEX('💻シート作成'!$D$6:$D1001, MATCH(T115, '💻シート作成'!$E$6:$E1001, 0)), "")</f>
        <v/>
      </c>
      <c r="T115" s="172"/>
      <c r="U115" s="678"/>
      <c r="V115" s="728"/>
      <c r="W115" s="675"/>
      <c r="X115" s="770"/>
      <c r="Y115" s="675"/>
      <c r="Z115" s="675"/>
    </row>
    <row r="116" hidden="1" outlineLevel="1">
      <c r="A116" s="675"/>
      <c r="B116" s="742"/>
      <c r="C116" s="743"/>
      <c r="D116" s="743"/>
      <c r="E116" s="743"/>
      <c r="F116" s="743"/>
      <c r="G116" s="744"/>
      <c r="H116" s="743"/>
      <c r="I116" s="743"/>
      <c r="J116" s="743"/>
      <c r="K116" s="743"/>
      <c r="L116" s="769"/>
      <c r="M116" s="768"/>
      <c r="N116" s="743"/>
      <c r="O116" s="746"/>
      <c r="Q116" s="741"/>
      <c r="R116" s="675"/>
      <c r="S116" s="216" t="str">
        <f t="array" ref="S116">IFERROR(INDEX('💻シート作成'!$D$6:$D1001, MATCH(T116, '💻シート作成'!$E$6:$E1001, 0)), "")</f>
        <v/>
      </c>
      <c r="T116" s="172"/>
      <c r="U116" s="678"/>
      <c r="V116" s="728"/>
      <c r="W116" s="675"/>
      <c r="X116" s="770"/>
      <c r="Y116" s="675"/>
      <c r="Z116" s="675"/>
    </row>
    <row r="117" hidden="1" outlineLevel="1">
      <c r="A117" s="675"/>
      <c r="B117" s="742"/>
      <c r="C117" s="743"/>
      <c r="D117" s="743"/>
      <c r="E117" s="743"/>
      <c r="F117" s="743"/>
      <c r="G117" s="744"/>
      <c r="H117" s="743"/>
      <c r="I117" s="743"/>
      <c r="J117" s="743"/>
      <c r="K117" s="743"/>
      <c r="L117" s="769"/>
      <c r="M117" s="768"/>
      <c r="N117" s="743"/>
      <c r="O117" s="746"/>
      <c r="Q117" s="741"/>
      <c r="R117" s="675"/>
      <c r="S117" s="216" t="str">
        <f t="array" ref="S117">IFERROR(INDEX('💻シート作成'!$D$6:$D1001, MATCH(T117, '💻シート作成'!$E$6:$E1001, 0)), "")</f>
        <v/>
      </c>
      <c r="T117" s="172"/>
      <c r="U117" s="678"/>
      <c r="V117" s="728"/>
      <c r="W117" s="675"/>
      <c r="X117" s="770"/>
      <c r="Y117" s="675"/>
      <c r="Z117" s="675"/>
    </row>
    <row r="118" hidden="1" outlineLevel="1">
      <c r="A118" s="675"/>
      <c r="B118" s="742"/>
      <c r="C118" s="743"/>
      <c r="D118" s="743"/>
      <c r="E118" s="743"/>
      <c r="F118" s="710"/>
      <c r="G118" s="711"/>
      <c r="H118" s="710"/>
      <c r="I118" s="710"/>
      <c r="J118" s="710"/>
      <c r="K118" s="710"/>
      <c r="L118" s="769"/>
      <c r="M118" s="768"/>
      <c r="N118" s="710"/>
      <c r="O118" s="713"/>
      <c r="P118" s="714"/>
      <c r="Q118" s="750"/>
      <c r="R118" s="675"/>
      <c r="S118" s="216" t="str">
        <f t="array" ref="S118">IFERROR(INDEX('💻シート作成'!$D$6:$D1001, MATCH(T118, '💻シート作成'!$E$6:$E1001, 0)), "")</f>
        <v/>
      </c>
      <c r="T118" s="172"/>
      <c r="U118" s="678"/>
      <c r="V118" s="728"/>
      <c r="W118" s="675"/>
      <c r="X118" s="770"/>
      <c r="Y118" s="675"/>
      <c r="Z118" s="675"/>
    </row>
    <row r="119" hidden="1" outlineLevel="1">
      <c r="A119" s="675"/>
      <c r="B119" s="751"/>
      <c r="C119" s="710"/>
      <c r="D119" s="710"/>
      <c r="E119" s="710"/>
      <c r="F119" s="771" t="s">
        <v>528</v>
      </c>
      <c r="G119" s="772"/>
      <c r="H119" s="754"/>
      <c r="I119" s="754"/>
      <c r="J119" s="754"/>
      <c r="K119" s="754"/>
      <c r="L119" s="772"/>
      <c r="M119" s="772"/>
      <c r="N119" s="772"/>
      <c r="O119" s="772"/>
      <c r="P119" s="772"/>
      <c r="Q119" s="773"/>
      <c r="R119" s="675"/>
      <c r="S119" s="216" t="str">
        <f t="array" ref="S119">IFERROR(INDEX('💻シート作成'!$D$6:$D1001, MATCH(T119, '💻シート作成'!$E$6:$E1001, 0)), "")</f>
        <v/>
      </c>
      <c r="T119" s="172"/>
      <c r="U119" s="678"/>
      <c r="V119" s="728"/>
      <c r="W119" s="675"/>
      <c r="X119" s="770"/>
      <c r="Y119" s="675"/>
      <c r="Z119" s="675"/>
    </row>
    <row r="120" collapsed="1">
      <c r="A120" s="675"/>
      <c r="B120" s="792" t="s">
        <v>530</v>
      </c>
      <c r="C120" s="793"/>
      <c r="D120" s="793"/>
      <c r="E120" s="793"/>
      <c r="F120" s="794"/>
      <c r="G120" s="795"/>
      <c r="H120" s="796"/>
      <c r="I120" s="796"/>
      <c r="J120" s="797"/>
      <c r="K120" s="797"/>
      <c r="L120" s="795"/>
      <c r="M120" s="795"/>
      <c r="N120" s="798"/>
      <c r="O120" s="799"/>
      <c r="P120" s="799"/>
      <c r="Q120" s="800"/>
      <c r="R120" s="675"/>
      <c r="S120" s="216" t="str">
        <f t="array" ref="S120">IFERROR(INDEX('💻シート作成'!$D$6:$D1001, MATCH(T120, '💻シート作成'!$E$6:$E1001, 0)), "")</f>
        <v/>
      </c>
      <c r="T120" s="172"/>
      <c r="U120" s="678"/>
      <c r="V120" s="728"/>
      <c r="W120" s="675"/>
      <c r="X120" s="770"/>
      <c r="Y120" s="675"/>
      <c r="Z120" s="675"/>
    </row>
    <row r="121" hidden="1" outlineLevel="1">
      <c r="A121" s="675"/>
      <c r="B121" s="774"/>
      <c r="C121" s="775">
        <f>IF(C109="","",IF(DAY(C109+1)=1,"",C109+1))</f>
        <v>46064</v>
      </c>
      <c r="D121" s="776" t="str">
        <f>TEXT(C121,"ddd")</f>
        <v>水</v>
      </c>
      <c r="E121" s="777"/>
      <c r="F121" s="778" t="s">
        <v>527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28"/>
      <c r="W121" s="675"/>
      <c r="X121" s="770"/>
      <c r="Y121" s="675"/>
      <c r="Z121" s="675"/>
    </row>
    <row r="122" hidden="1" outlineLevel="1">
      <c r="A122" s="675"/>
      <c r="B122" s="742"/>
      <c r="C122" s="743"/>
      <c r="D122" s="743"/>
      <c r="E122" s="743"/>
      <c r="F122" s="743"/>
      <c r="G122" s="744"/>
      <c r="H122" s="743"/>
      <c r="I122" s="743"/>
      <c r="J122" s="743"/>
      <c r="K122" s="743"/>
      <c r="L122" s="782"/>
      <c r="M122" s="782"/>
      <c r="N122" s="743"/>
      <c r="O122" s="746"/>
      <c r="Q122" s="741"/>
      <c r="R122" s="675"/>
      <c r="S122" s="216" t="str">
        <f t="array" ref="S122">IFERROR(INDEX('💻シート作成'!$D$6:$D1001, MATCH(T122, '💻シート作成'!$E$6:$E1001, 0)), "")</f>
        <v/>
      </c>
      <c r="T122" s="172"/>
      <c r="U122" s="678"/>
      <c r="V122" s="728"/>
      <c r="W122" s="675"/>
      <c r="X122" s="770"/>
      <c r="Y122" s="675"/>
      <c r="Z122" s="675"/>
    </row>
    <row r="123" hidden="1" outlineLevel="1">
      <c r="A123" s="675"/>
      <c r="B123" s="742"/>
      <c r="C123" s="743"/>
      <c r="D123" s="743"/>
      <c r="E123" s="743"/>
      <c r="F123" s="743"/>
      <c r="G123" s="744"/>
      <c r="H123" s="743"/>
      <c r="I123" s="743"/>
      <c r="J123" s="743"/>
      <c r="K123" s="743"/>
      <c r="L123" s="782"/>
      <c r="M123" s="782"/>
      <c r="N123" s="743"/>
      <c r="O123" s="746"/>
      <c r="Q123" s="741"/>
      <c r="R123" s="675"/>
      <c r="S123" s="216" t="str">
        <f t="array" ref="S123">IFERROR(INDEX('💻シート作成'!$D$6:$D1001, MATCH(T123, '💻シート作成'!$E$6:$E1001, 0)), "")</f>
        <v/>
      </c>
      <c r="T123" s="172"/>
      <c r="U123" s="678"/>
      <c r="V123" s="728"/>
      <c r="W123" s="675"/>
      <c r="X123" s="770"/>
      <c r="Y123" s="675"/>
      <c r="Z123" s="675"/>
    </row>
    <row r="124" hidden="1" outlineLevel="1">
      <c r="A124" s="675"/>
      <c r="B124" s="742"/>
      <c r="C124" s="743"/>
      <c r="D124" s="743"/>
      <c r="E124" s="743"/>
      <c r="F124" s="743"/>
      <c r="G124" s="744"/>
      <c r="H124" s="743"/>
      <c r="I124" s="743"/>
      <c r="J124" s="743"/>
      <c r="K124" s="743"/>
      <c r="L124" s="786"/>
      <c r="M124" s="782"/>
      <c r="N124" s="743"/>
      <c r="O124" s="746"/>
      <c r="Q124" s="741"/>
      <c r="R124" s="675"/>
      <c r="S124" s="216" t="str">
        <f t="array" ref="S124">IFERROR(INDEX('💻シート作成'!$D$6:$D1001, MATCH(T124, '💻シート作成'!$E$6:$E1001, 0)), "")</f>
        <v/>
      </c>
      <c r="T124" s="172"/>
      <c r="U124" s="678"/>
      <c r="V124" s="728"/>
      <c r="W124" s="675"/>
      <c r="X124" s="770"/>
      <c r="Y124" s="675"/>
      <c r="Z124" s="675"/>
    </row>
    <row r="125" hidden="1" outlineLevel="1">
      <c r="A125" s="675"/>
      <c r="B125" s="742"/>
      <c r="C125" s="743"/>
      <c r="D125" s="743"/>
      <c r="E125" s="743"/>
      <c r="F125" s="743"/>
      <c r="G125" s="744"/>
      <c r="H125" s="743"/>
      <c r="I125" s="743"/>
      <c r="J125" s="743"/>
      <c r="K125" s="743"/>
      <c r="L125" s="786"/>
      <c r="M125" s="782"/>
      <c r="N125" s="743"/>
      <c r="O125" s="746"/>
      <c r="Q125" s="741"/>
      <c r="R125" s="675"/>
      <c r="S125" s="216" t="str">
        <f t="array" ref="S125">IFERROR(INDEX('💻シート作成'!$D$6:$D1001, MATCH(T125, '💻シート作成'!$E$6:$E1001, 0)), "")</f>
        <v/>
      </c>
      <c r="T125" s="172"/>
      <c r="U125" s="678"/>
      <c r="V125" s="728"/>
      <c r="W125" s="675"/>
      <c r="X125" s="770"/>
      <c r="Y125" s="675"/>
      <c r="Z125" s="675"/>
    </row>
    <row r="126" hidden="1" outlineLevel="1">
      <c r="A126" s="675"/>
      <c r="B126" s="742"/>
      <c r="C126" s="743"/>
      <c r="D126" s="743"/>
      <c r="E126" s="743"/>
      <c r="F126" s="743"/>
      <c r="G126" s="744"/>
      <c r="H126" s="743"/>
      <c r="I126" s="743"/>
      <c r="J126" s="743"/>
      <c r="K126" s="743"/>
      <c r="L126" s="786"/>
      <c r="M126" s="782"/>
      <c r="N126" s="743"/>
      <c r="O126" s="746"/>
      <c r="Q126" s="741"/>
      <c r="R126" s="675"/>
      <c r="S126" s="216" t="str">
        <f t="array" ref="S126">IFERROR(INDEX('💻シート作成'!$D$6:$D1001, MATCH(T126, '💻シート作成'!$E$6:$E1001, 0)), "")</f>
        <v/>
      </c>
      <c r="T126" s="172"/>
      <c r="U126" s="678"/>
      <c r="V126" s="728"/>
      <c r="W126" s="675"/>
      <c r="X126" s="770"/>
      <c r="Y126" s="675"/>
      <c r="Z126" s="675"/>
    </row>
    <row r="127" hidden="1" outlineLevel="1">
      <c r="A127" s="675"/>
      <c r="B127" s="742"/>
      <c r="C127" s="743"/>
      <c r="D127" s="743"/>
      <c r="E127" s="743"/>
      <c r="F127" s="743"/>
      <c r="G127" s="744"/>
      <c r="H127" s="743"/>
      <c r="I127" s="743"/>
      <c r="J127" s="743"/>
      <c r="K127" s="743"/>
      <c r="L127" s="786"/>
      <c r="M127" s="782"/>
      <c r="N127" s="743"/>
      <c r="O127" s="746"/>
      <c r="Q127" s="741"/>
      <c r="R127" s="675"/>
      <c r="S127" s="216" t="str">
        <f t="array" ref="S127">IFERROR(INDEX('💻シート作成'!$D$6:$D1001, MATCH(T127, '💻シート作成'!$E$6:$E1001, 0)), "")</f>
        <v/>
      </c>
      <c r="T127" s="172"/>
      <c r="U127" s="678"/>
      <c r="V127" s="728"/>
      <c r="W127" s="675"/>
      <c r="X127" s="770"/>
      <c r="Y127" s="675"/>
      <c r="Z127" s="675"/>
    </row>
    <row r="128" hidden="1" outlineLevel="1">
      <c r="A128" s="675"/>
      <c r="B128" s="742"/>
      <c r="C128" s="743"/>
      <c r="D128" s="743"/>
      <c r="E128" s="743"/>
      <c r="F128" s="743"/>
      <c r="G128" s="744"/>
      <c r="H128" s="743"/>
      <c r="I128" s="743"/>
      <c r="J128" s="743"/>
      <c r="K128" s="743"/>
      <c r="L128" s="786"/>
      <c r="M128" s="782"/>
      <c r="N128" s="743"/>
      <c r="O128" s="746"/>
      <c r="Q128" s="741"/>
      <c r="R128" s="675"/>
      <c r="S128" s="216" t="str">
        <f t="array" ref="S128">IFERROR(INDEX('💻シート作成'!$D$6:$D1001, MATCH(T128, '💻シート作成'!$E$6:$E1001, 0)), "")</f>
        <v/>
      </c>
      <c r="T128" s="172"/>
      <c r="U128" s="678"/>
      <c r="V128" s="728"/>
      <c r="W128" s="675"/>
      <c r="X128" s="770"/>
      <c r="Y128" s="675"/>
      <c r="Z128" s="675"/>
    </row>
    <row r="129" hidden="1" outlineLevel="1">
      <c r="A129" s="675"/>
      <c r="B129" s="742"/>
      <c r="C129" s="743"/>
      <c r="D129" s="743"/>
      <c r="E129" s="743"/>
      <c r="F129" s="743"/>
      <c r="G129" s="744"/>
      <c r="H129" s="743"/>
      <c r="I129" s="743"/>
      <c r="J129" s="743"/>
      <c r="K129" s="743"/>
      <c r="L129" s="786"/>
      <c r="M129" s="782"/>
      <c r="N129" s="743"/>
      <c r="O129" s="746"/>
      <c r="Q129" s="741"/>
      <c r="R129" s="675"/>
      <c r="S129" s="216" t="str">
        <f t="array" ref="S129">IFERROR(INDEX('💻シート作成'!$D$6:$D1001, MATCH(T129, '💻シート作成'!$E$6:$E1001, 0)), "")</f>
        <v/>
      </c>
      <c r="T129" s="172"/>
      <c r="U129" s="678"/>
      <c r="V129" s="728"/>
      <c r="W129" s="675"/>
      <c r="X129" s="770"/>
      <c r="Y129" s="675"/>
      <c r="Z129" s="675"/>
    </row>
    <row r="130" hidden="1" outlineLevel="1">
      <c r="A130" s="675"/>
      <c r="B130" s="742"/>
      <c r="C130" s="743"/>
      <c r="D130" s="743"/>
      <c r="E130" s="743"/>
      <c r="F130" s="710"/>
      <c r="G130" s="711"/>
      <c r="H130" s="710"/>
      <c r="I130" s="710"/>
      <c r="J130" s="710"/>
      <c r="K130" s="710"/>
      <c r="L130" s="786"/>
      <c r="M130" s="782"/>
      <c r="N130" s="710"/>
      <c r="O130" s="713"/>
      <c r="P130" s="714"/>
      <c r="Q130" s="750"/>
      <c r="R130" s="675"/>
      <c r="S130" s="216" t="str">
        <f t="array" ref="S130">IFERROR(INDEX('💻シート作成'!$D$6:$D1001, MATCH(T130, '💻シート作成'!$E$6:$E1001, 0)), "")</f>
        <v/>
      </c>
      <c r="T130" s="172"/>
      <c r="U130" s="678"/>
      <c r="V130" s="728"/>
      <c r="W130" s="675"/>
      <c r="X130" s="770"/>
      <c r="Y130" s="675"/>
      <c r="Z130" s="675"/>
    </row>
    <row r="131" hidden="1" outlineLevel="1">
      <c r="A131" s="675"/>
      <c r="B131" s="751"/>
      <c r="C131" s="710"/>
      <c r="D131" s="710"/>
      <c r="E131" s="710"/>
      <c r="F131" s="752" t="s">
        <v>528</v>
      </c>
      <c r="G131" s="753"/>
      <c r="H131" s="754"/>
      <c r="I131" s="754"/>
      <c r="J131" s="754"/>
      <c r="K131" s="754"/>
      <c r="L131" s="753"/>
      <c r="M131" s="753"/>
      <c r="N131" s="753"/>
      <c r="O131" s="753"/>
      <c r="P131" s="753"/>
      <c r="Q131" s="755"/>
      <c r="R131" s="675"/>
      <c r="S131" s="216" t="str">
        <f t="array" ref="S131">IFERROR(INDEX('💻シート作成'!$D$6:$D1001, MATCH(T131, '💻シート作成'!$E$6:$E1001, 0)), "")</f>
        <v/>
      </c>
      <c r="T131" s="172"/>
      <c r="U131" s="678"/>
      <c r="V131" s="728"/>
      <c r="W131" s="675"/>
      <c r="X131" s="770"/>
      <c r="Y131" s="675"/>
      <c r="Z131" s="675"/>
    </row>
    <row r="132" hidden="1" outlineLevel="1">
      <c r="A132" s="675"/>
      <c r="B132" s="756"/>
      <c r="C132" s="757">
        <f>IF(C121="","",IF(DAY(C121+1)=1,"",C121+1))</f>
        <v>46065</v>
      </c>
      <c r="D132" s="758" t="str">
        <f>TEXT(C132,"ddd")</f>
        <v>木</v>
      </c>
      <c r="E132" s="759"/>
      <c r="F132" s="787" t="s">
        <v>527</v>
      </c>
      <c r="G132" s="788"/>
      <c r="H132" s="789"/>
      <c r="I132" s="790">
        <v>0.0</v>
      </c>
      <c r="J132" s="758"/>
      <c r="K132" s="758"/>
      <c r="L132" s="768"/>
      <c r="M132" s="768"/>
      <c r="N132" s="787"/>
      <c r="O132" s="791"/>
      <c r="P132" s="784"/>
      <c r="Q132" s="785"/>
      <c r="R132" s="675"/>
      <c r="S132" s="216" t="str">
        <f t="array" ref="S132">IFERROR(INDEX('💻シート作成'!$D$6:$D1001, MATCH(T132, '💻シート作成'!$E$6:$E1001, 0)), "")</f>
        <v/>
      </c>
      <c r="T132" s="172"/>
      <c r="U132" s="678"/>
      <c r="V132" s="728"/>
      <c r="W132" s="675"/>
      <c r="X132" s="770"/>
      <c r="Y132" s="675"/>
      <c r="Z132" s="675"/>
    </row>
    <row r="133" hidden="1" outlineLevel="1">
      <c r="A133" s="675"/>
      <c r="B133" s="742"/>
      <c r="C133" s="743"/>
      <c r="D133" s="743"/>
      <c r="E133" s="743"/>
      <c r="F133" s="743"/>
      <c r="G133" s="744"/>
      <c r="H133" s="743"/>
      <c r="I133" s="743"/>
      <c r="J133" s="743"/>
      <c r="K133" s="743"/>
      <c r="L133" s="768"/>
      <c r="M133" s="768"/>
      <c r="N133" s="743"/>
      <c r="O133" s="746"/>
      <c r="Q133" s="741"/>
      <c r="R133" s="675"/>
      <c r="S133" s="216" t="str">
        <f t="array" ref="S133">IFERROR(INDEX('💻シート作成'!$D$6:$D1001, MATCH(T133, '💻シート作成'!$E$6:$E1001, 0)), "")</f>
        <v/>
      </c>
      <c r="T133" s="172"/>
      <c r="U133" s="678"/>
      <c r="V133" s="728"/>
      <c r="W133" s="675"/>
      <c r="X133" s="770"/>
      <c r="Y133" s="675"/>
      <c r="Z133" s="675"/>
    </row>
    <row r="134" hidden="1" outlineLevel="1">
      <c r="A134" s="675"/>
      <c r="B134" s="742"/>
      <c r="C134" s="743"/>
      <c r="D134" s="743"/>
      <c r="E134" s="743"/>
      <c r="F134" s="743"/>
      <c r="G134" s="744"/>
      <c r="H134" s="743"/>
      <c r="I134" s="743"/>
      <c r="J134" s="743"/>
      <c r="K134" s="743"/>
      <c r="L134" s="768"/>
      <c r="M134" s="768"/>
      <c r="N134" s="743"/>
      <c r="O134" s="746"/>
      <c r="Q134" s="741"/>
      <c r="R134" s="675"/>
      <c r="S134" s="216" t="str">
        <f t="array" ref="S134">IFERROR(INDEX('💻シート作成'!$D$6:$D1001, MATCH(T134, '💻シート作成'!$E$6:$E1001, 0)), "")</f>
        <v/>
      </c>
      <c r="T134" s="172"/>
      <c r="U134" s="678"/>
      <c r="V134" s="728"/>
      <c r="W134" s="675"/>
      <c r="X134" s="770"/>
      <c r="Y134" s="675"/>
      <c r="Z134" s="675"/>
    </row>
    <row r="135" hidden="1" outlineLevel="1">
      <c r="A135" s="675"/>
      <c r="B135" s="742"/>
      <c r="C135" s="743"/>
      <c r="D135" s="743"/>
      <c r="E135" s="743"/>
      <c r="F135" s="743"/>
      <c r="G135" s="744"/>
      <c r="H135" s="743"/>
      <c r="I135" s="743"/>
      <c r="J135" s="743"/>
      <c r="K135" s="743"/>
      <c r="L135" s="769"/>
      <c r="M135" s="768"/>
      <c r="N135" s="743"/>
      <c r="O135" s="746"/>
      <c r="Q135" s="741"/>
      <c r="R135" s="675"/>
      <c r="S135" s="216" t="str">
        <f t="array" ref="S135">IFERROR(INDEX('💻シート作成'!$D$6:$D1001, MATCH(T135, '💻シート作成'!$E$6:$E1001, 0)), "")</f>
        <v/>
      </c>
      <c r="T135" s="172"/>
      <c r="U135" s="678"/>
      <c r="V135" s="728"/>
      <c r="W135" s="675"/>
      <c r="X135" s="770"/>
      <c r="Y135" s="675"/>
      <c r="Z135" s="675"/>
    </row>
    <row r="136" hidden="1" outlineLevel="1">
      <c r="A136" s="675"/>
      <c r="B136" s="742"/>
      <c r="C136" s="743"/>
      <c r="D136" s="743"/>
      <c r="E136" s="743"/>
      <c r="F136" s="743"/>
      <c r="G136" s="744"/>
      <c r="H136" s="743"/>
      <c r="I136" s="743"/>
      <c r="J136" s="743"/>
      <c r="K136" s="743"/>
      <c r="L136" s="769"/>
      <c r="M136" s="768"/>
      <c r="N136" s="743"/>
      <c r="O136" s="746"/>
      <c r="Q136" s="741"/>
      <c r="R136" s="675"/>
      <c r="S136" s="216" t="str">
        <f t="array" ref="S136">IFERROR(INDEX('💻シート作成'!$D$6:$D1001, MATCH(T136, '💻シート作成'!$E$6:$E1001, 0)), "")</f>
        <v/>
      </c>
      <c r="T136" s="172"/>
      <c r="U136" s="678"/>
      <c r="V136" s="728"/>
      <c r="W136" s="675"/>
      <c r="X136" s="770"/>
      <c r="Y136" s="675"/>
      <c r="Z136" s="675"/>
    </row>
    <row r="137" hidden="1" outlineLevel="1">
      <c r="A137" s="675"/>
      <c r="B137" s="742"/>
      <c r="C137" s="743"/>
      <c r="D137" s="743"/>
      <c r="E137" s="743"/>
      <c r="F137" s="743"/>
      <c r="G137" s="744"/>
      <c r="H137" s="743"/>
      <c r="I137" s="743"/>
      <c r="J137" s="743"/>
      <c r="K137" s="743"/>
      <c r="L137" s="769"/>
      <c r="M137" s="768"/>
      <c r="N137" s="743"/>
      <c r="O137" s="746"/>
      <c r="Q137" s="741"/>
      <c r="R137" s="675"/>
      <c r="S137" s="216" t="str">
        <f t="array" ref="S137">IFERROR(INDEX('💻シート作成'!$D$6:$D1001, MATCH(T137, '💻シート作成'!$E$6:$E1001, 0)), "")</f>
        <v/>
      </c>
      <c r="T137" s="172"/>
      <c r="U137" s="678"/>
      <c r="V137" s="728"/>
      <c r="W137" s="675"/>
      <c r="X137" s="770"/>
      <c r="Y137" s="675"/>
      <c r="Z137" s="675"/>
    </row>
    <row r="138" hidden="1" outlineLevel="1">
      <c r="A138" s="675"/>
      <c r="B138" s="742"/>
      <c r="C138" s="743"/>
      <c r="D138" s="743"/>
      <c r="E138" s="743"/>
      <c r="F138" s="743"/>
      <c r="G138" s="744"/>
      <c r="H138" s="743"/>
      <c r="I138" s="743"/>
      <c r="J138" s="743"/>
      <c r="K138" s="743"/>
      <c r="L138" s="769"/>
      <c r="M138" s="768"/>
      <c r="N138" s="743"/>
      <c r="O138" s="746"/>
      <c r="Q138" s="741"/>
      <c r="R138" s="675"/>
      <c r="S138" s="216" t="str">
        <f t="array" ref="S138">IFERROR(INDEX('💻シート作成'!$D$6:$D1001, MATCH(T138, '💻シート作成'!$E$6:$E1001, 0)), "")</f>
        <v/>
      </c>
      <c r="T138" s="172"/>
      <c r="U138" s="678"/>
      <c r="V138" s="728"/>
      <c r="W138" s="675"/>
      <c r="X138" s="770"/>
      <c r="Y138" s="675"/>
      <c r="Z138" s="675"/>
    </row>
    <row r="139" hidden="1" outlineLevel="1">
      <c r="A139" s="675"/>
      <c r="B139" s="742"/>
      <c r="C139" s="743"/>
      <c r="D139" s="743"/>
      <c r="E139" s="743"/>
      <c r="F139" s="743"/>
      <c r="G139" s="744"/>
      <c r="H139" s="743"/>
      <c r="I139" s="743"/>
      <c r="J139" s="743"/>
      <c r="K139" s="743"/>
      <c r="L139" s="769"/>
      <c r="M139" s="768"/>
      <c r="N139" s="743"/>
      <c r="O139" s="746"/>
      <c r="Q139" s="741"/>
      <c r="R139" s="675"/>
      <c r="S139" s="216" t="str">
        <f t="array" ref="S139">IFERROR(INDEX('💻シート作成'!$D$6:$D1001, MATCH(T139, '💻シート作成'!$E$6:$E1001, 0)), "")</f>
        <v/>
      </c>
      <c r="T139" s="172"/>
      <c r="U139" s="678"/>
      <c r="V139" s="728"/>
      <c r="W139" s="675"/>
      <c r="X139" s="770"/>
      <c r="Y139" s="675"/>
      <c r="Z139" s="675"/>
    </row>
    <row r="140" hidden="1" outlineLevel="1">
      <c r="A140" s="675"/>
      <c r="B140" s="742"/>
      <c r="C140" s="743"/>
      <c r="D140" s="743"/>
      <c r="E140" s="743"/>
      <c r="F140" s="743"/>
      <c r="G140" s="744"/>
      <c r="H140" s="743"/>
      <c r="I140" s="743"/>
      <c r="J140" s="743"/>
      <c r="K140" s="743"/>
      <c r="L140" s="769"/>
      <c r="M140" s="768"/>
      <c r="N140" s="743"/>
      <c r="O140" s="746"/>
      <c r="Q140" s="741"/>
      <c r="R140" s="675"/>
      <c r="S140" s="216" t="str">
        <f t="array" ref="S140">IFERROR(INDEX('💻シート作成'!$D$6:$D1001, MATCH(T140, '💻シート作成'!$E$6:$E1001, 0)), "")</f>
        <v/>
      </c>
      <c r="T140" s="172"/>
      <c r="U140" s="678"/>
      <c r="V140" s="728"/>
      <c r="W140" s="675"/>
      <c r="X140" s="770"/>
      <c r="Y140" s="675"/>
      <c r="Z140" s="675"/>
    </row>
    <row r="141" hidden="1" outlineLevel="1">
      <c r="A141" s="675"/>
      <c r="B141" s="742"/>
      <c r="C141" s="743"/>
      <c r="D141" s="743"/>
      <c r="E141" s="743"/>
      <c r="F141" s="710"/>
      <c r="G141" s="711"/>
      <c r="H141" s="710"/>
      <c r="I141" s="710"/>
      <c r="J141" s="710"/>
      <c r="K141" s="710"/>
      <c r="L141" s="769"/>
      <c r="M141" s="768"/>
      <c r="N141" s="710"/>
      <c r="O141" s="713"/>
      <c r="P141" s="714"/>
      <c r="Q141" s="750"/>
      <c r="R141" s="675"/>
      <c r="S141" s="216" t="str">
        <f t="array" ref="S141">IFERROR(INDEX('💻シート作成'!$D$6:$D1001, MATCH(T141, '💻シート作成'!$E$6:$E1001, 0)), "")</f>
        <v/>
      </c>
      <c r="T141" s="172"/>
      <c r="U141" s="678"/>
      <c r="V141" s="728"/>
      <c r="W141" s="675"/>
      <c r="X141" s="770"/>
      <c r="Y141" s="675"/>
      <c r="Z141" s="675"/>
    </row>
    <row r="142" hidden="1" outlineLevel="1">
      <c r="A142" s="675"/>
      <c r="B142" s="751"/>
      <c r="C142" s="710"/>
      <c r="D142" s="710"/>
      <c r="E142" s="710"/>
      <c r="F142" s="771" t="s">
        <v>528</v>
      </c>
      <c r="G142" s="772"/>
      <c r="H142" s="754"/>
      <c r="I142" s="754"/>
      <c r="J142" s="754"/>
      <c r="K142" s="754"/>
      <c r="L142" s="772"/>
      <c r="M142" s="772"/>
      <c r="N142" s="772"/>
      <c r="O142" s="772"/>
      <c r="P142" s="772"/>
      <c r="Q142" s="773"/>
      <c r="R142" s="675"/>
      <c r="S142" s="216" t="str">
        <f t="array" ref="S142">IFERROR(INDEX('💻シート作成'!$D$6:$D1001, MATCH(T142, '💻シート作成'!$E$6:$E1001, 0)), "")</f>
        <v/>
      </c>
      <c r="T142" s="172"/>
      <c r="U142" s="678"/>
      <c r="V142" s="728"/>
      <c r="W142" s="675"/>
      <c r="X142" s="770"/>
      <c r="Y142" s="675"/>
      <c r="Z142" s="675"/>
    </row>
    <row r="143" hidden="1" outlineLevel="1">
      <c r="A143" s="675"/>
      <c r="B143" s="774"/>
      <c r="C143" s="775">
        <f>IF(C132="","",IF(DAY(C132+1)=1,"",C132+1))</f>
        <v>46066</v>
      </c>
      <c r="D143" s="776" t="str">
        <f>TEXT(C143,"ddd")</f>
        <v>金</v>
      </c>
      <c r="E143" s="777"/>
      <c r="F143" s="778" t="s">
        <v>527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28"/>
      <c r="W143" s="675"/>
      <c r="X143" s="770"/>
      <c r="Y143" s="675"/>
      <c r="Z143" s="675"/>
    </row>
    <row r="144" hidden="1" outlineLevel="1">
      <c r="A144" s="675"/>
      <c r="B144" s="742"/>
      <c r="C144" s="743"/>
      <c r="D144" s="743"/>
      <c r="E144" s="743"/>
      <c r="F144" s="743"/>
      <c r="G144" s="744"/>
      <c r="H144" s="743"/>
      <c r="I144" s="743"/>
      <c r="J144" s="743"/>
      <c r="K144" s="743"/>
      <c r="L144" s="782"/>
      <c r="M144" s="782"/>
      <c r="N144" s="743"/>
      <c r="O144" s="746"/>
      <c r="Q144" s="741"/>
      <c r="R144" s="675"/>
      <c r="S144" s="216" t="str">
        <f t="array" ref="S144">IFERROR(INDEX('💻シート作成'!$D$6:$D1001, MATCH(T144, '💻シート作成'!$E$6:$E1001, 0)), "")</f>
        <v/>
      </c>
      <c r="T144" s="172"/>
      <c r="U144" s="678"/>
      <c r="V144" s="728"/>
      <c r="W144" s="675"/>
      <c r="X144" s="770"/>
      <c r="Y144" s="675"/>
      <c r="Z144" s="675"/>
    </row>
    <row r="145" hidden="1" outlineLevel="1">
      <c r="A145" s="675"/>
      <c r="B145" s="742"/>
      <c r="C145" s="743"/>
      <c r="D145" s="743"/>
      <c r="E145" s="743"/>
      <c r="F145" s="743"/>
      <c r="G145" s="744"/>
      <c r="H145" s="743"/>
      <c r="I145" s="743"/>
      <c r="J145" s="743"/>
      <c r="K145" s="743"/>
      <c r="L145" s="782"/>
      <c r="M145" s="782"/>
      <c r="N145" s="743"/>
      <c r="O145" s="746"/>
      <c r="Q145" s="741"/>
      <c r="R145" s="675"/>
      <c r="S145" s="216" t="str">
        <f t="array" ref="S145">IFERROR(INDEX('💻シート作成'!$D$6:$D1001, MATCH(T145, '💻シート作成'!$E$6:$E1001, 0)), "")</f>
        <v/>
      </c>
      <c r="T145" s="172"/>
      <c r="U145" s="678"/>
      <c r="V145" s="728"/>
      <c r="W145" s="675"/>
      <c r="X145" s="770"/>
      <c r="Y145" s="675"/>
      <c r="Z145" s="675"/>
    </row>
    <row r="146" hidden="1" outlineLevel="1">
      <c r="A146" s="675"/>
      <c r="B146" s="742"/>
      <c r="C146" s="743"/>
      <c r="D146" s="743"/>
      <c r="E146" s="743"/>
      <c r="F146" s="743"/>
      <c r="G146" s="744"/>
      <c r="H146" s="743"/>
      <c r="I146" s="743"/>
      <c r="J146" s="743"/>
      <c r="K146" s="743"/>
      <c r="L146" s="786"/>
      <c r="M146" s="782"/>
      <c r="N146" s="743"/>
      <c r="O146" s="746"/>
      <c r="Q146" s="741"/>
      <c r="R146" s="675"/>
      <c r="S146" s="216" t="str">
        <f t="array" ref="S146">IFERROR(INDEX('💻シート作成'!$D$6:$D1001, MATCH(T146, '💻シート作成'!$E$6:$E1001, 0)), "")</f>
        <v/>
      </c>
      <c r="T146" s="172"/>
      <c r="U146" s="678"/>
      <c r="V146" s="728"/>
      <c r="W146" s="675"/>
      <c r="X146" s="770"/>
      <c r="Y146" s="675"/>
      <c r="Z146" s="675"/>
    </row>
    <row r="147" hidden="1" outlineLevel="1">
      <c r="A147" s="675"/>
      <c r="B147" s="742"/>
      <c r="C147" s="743"/>
      <c r="D147" s="743"/>
      <c r="E147" s="743"/>
      <c r="F147" s="743"/>
      <c r="G147" s="744"/>
      <c r="H147" s="743"/>
      <c r="I147" s="743"/>
      <c r="J147" s="743"/>
      <c r="K147" s="743"/>
      <c r="L147" s="786"/>
      <c r="M147" s="782"/>
      <c r="N147" s="743"/>
      <c r="O147" s="746"/>
      <c r="Q147" s="741"/>
      <c r="R147" s="675"/>
      <c r="S147" s="216" t="str">
        <f t="array" ref="S147">IFERROR(INDEX('💻シート作成'!$D$6:$D1001, MATCH(T147, '💻シート作成'!$E$6:$E1001, 0)), "")</f>
        <v/>
      </c>
      <c r="T147" s="172"/>
      <c r="U147" s="678"/>
      <c r="V147" s="728"/>
      <c r="W147" s="675"/>
      <c r="X147" s="770"/>
      <c r="Y147" s="675"/>
      <c r="Z147" s="675"/>
    </row>
    <row r="148" hidden="1" outlineLevel="1">
      <c r="A148" s="675"/>
      <c r="B148" s="742"/>
      <c r="C148" s="743"/>
      <c r="D148" s="743"/>
      <c r="E148" s="743"/>
      <c r="F148" s="743"/>
      <c r="G148" s="744"/>
      <c r="H148" s="743"/>
      <c r="I148" s="743"/>
      <c r="J148" s="743"/>
      <c r="K148" s="743"/>
      <c r="L148" s="786"/>
      <c r="M148" s="782"/>
      <c r="N148" s="743"/>
      <c r="O148" s="746"/>
      <c r="Q148" s="741"/>
      <c r="R148" s="675"/>
      <c r="S148" s="216" t="str">
        <f t="array" ref="S148">IFERROR(INDEX('💻シート作成'!$D$6:$D1001, MATCH(T148, '💻シート作成'!$E$6:$E1001, 0)), "")</f>
        <v/>
      </c>
      <c r="T148" s="172"/>
      <c r="U148" s="678"/>
      <c r="V148" s="728"/>
      <c r="W148" s="675"/>
      <c r="X148" s="770"/>
      <c r="Y148" s="675"/>
      <c r="Z148" s="675"/>
    </row>
    <row r="149" hidden="1" outlineLevel="1">
      <c r="A149" s="675"/>
      <c r="B149" s="742"/>
      <c r="C149" s="743"/>
      <c r="D149" s="743"/>
      <c r="E149" s="743"/>
      <c r="F149" s="743"/>
      <c r="G149" s="744"/>
      <c r="H149" s="743"/>
      <c r="I149" s="743"/>
      <c r="J149" s="743"/>
      <c r="K149" s="743"/>
      <c r="L149" s="786"/>
      <c r="M149" s="782"/>
      <c r="N149" s="743"/>
      <c r="O149" s="746"/>
      <c r="Q149" s="741"/>
      <c r="R149" s="675"/>
      <c r="S149" s="216" t="str">
        <f t="array" ref="S149">IFERROR(INDEX('💻シート作成'!$D$6:$D1001, MATCH(T149, '💻シート作成'!$E$6:$E1001, 0)), "")</f>
        <v/>
      </c>
      <c r="T149" s="172"/>
      <c r="U149" s="678"/>
      <c r="V149" s="728"/>
      <c r="W149" s="675"/>
      <c r="X149" s="770"/>
      <c r="Y149" s="675"/>
      <c r="Z149" s="675"/>
    </row>
    <row r="150" hidden="1" outlineLevel="1">
      <c r="A150" s="675"/>
      <c r="B150" s="742"/>
      <c r="C150" s="743"/>
      <c r="D150" s="743"/>
      <c r="E150" s="743"/>
      <c r="F150" s="743"/>
      <c r="G150" s="744"/>
      <c r="H150" s="743"/>
      <c r="I150" s="743"/>
      <c r="J150" s="743"/>
      <c r="K150" s="743"/>
      <c r="L150" s="786"/>
      <c r="M150" s="782"/>
      <c r="N150" s="743"/>
      <c r="O150" s="746"/>
      <c r="Q150" s="741"/>
      <c r="R150" s="675"/>
      <c r="S150" s="216" t="str">
        <f t="array" ref="S150">IFERROR(INDEX('💻シート作成'!$D$6:$D1001, MATCH(T150, '💻シート作成'!$E$6:$E1001, 0)), "")</f>
        <v/>
      </c>
      <c r="T150" s="172"/>
      <c r="U150" s="678"/>
      <c r="V150" s="728"/>
      <c r="W150" s="675"/>
      <c r="X150" s="770"/>
      <c r="Y150" s="675"/>
      <c r="Z150" s="675"/>
    </row>
    <row r="151" hidden="1" outlineLevel="1">
      <c r="A151" s="675"/>
      <c r="B151" s="742"/>
      <c r="C151" s="743"/>
      <c r="D151" s="743"/>
      <c r="E151" s="743"/>
      <c r="F151" s="743"/>
      <c r="G151" s="744"/>
      <c r="H151" s="743"/>
      <c r="I151" s="743"/>
      <c r="J151" s="743"/>
      <c r="K151" s="743"/>
      <c r="L151" s="786"/>
      <c r="M151" s="782"/>
      <c r="N151" s="743"/>
      <c r="O151" s="746"/>
      <c r="Q151" s="741"/>
      <c r="R151" s="675"/>
      <c r="S151" s="216" t="str">
        <f t="array" ref="S151">IFERROR(INDEX('💻シート作成'!$D$6:$D1001, MATCH(T151, '💻シート作成'!$E$6:$E1001, 0)), "")</f>
        <v/>
      </c>
      <c r="T151" s="172"/>
      <c r="U151" s="678"/>
      <c r="V151" s="728"/>
      <c r="W151" s="675"/>
      <c r="X151" s="770"/>
      <c r="Y151" s="675"/>
      <c r="Z151" s="675"/>
    </row>
    <row r="152" hidden="1" outlineLevel="1">
      <c r="A152" s="675"/>
      <c r="B152" s="742"/>
      <c r="C152" s="743"/>
      <c r="D152" s="743"/>
      <c r="E152" s="743"/>
      <c r="F152" s="710"/>
      <c r="G152" s="711"/>
      <c r="H152" s="710"/>
      <c r="I152" s="710"/>
      <c r="J152" s="710"/>
      <c r="K152" s="710"/>
      <c r="L152" s="786"/>
      <c r="M152" s="782"/>
      <c r="N152" s="710"/>
      <c r="O152" s="713"/>
      <c r="P152" s="714"/>
      <c r="Q152" s="750"/>
      <c r="R152" s="675"/>
      <c r="S152" s="216" t="str">
        <f t="array" ref="S152">IFERROR(INDEX('💻シート作成'!$D$6:$D1001, MATCH(T152, '💻シート作成'!$E$6:$E1001, 0)), "")</f>
        <v/>
      </c>
      <c r="T152" s="172"/>
      <c r="U152" s="678"/>
      <c r="V152" s="728"/>
      <c r="W152" s="675"/>
      <c r="X152" s="770"/>
      <c r="Y152" s="675"/>
      <c r="Z152" s="675"/>
    </row>
    <row r="153" hidden="1" outlineLevel="1">
      <c r="A153" s="675"/>
      <c r="B153" s="751"/>
      <c r="C153" s="710"/>
      <c r="D153" s="710"/>
      <c r="E153" s="710"/>
      <c r="F153" s="752" t="s">
        <v>528</v>
      </c>
      <c r="G153" s="753"/>
      <c r="H153" s="754"/>
      <c r="I153" s="754"/>
      <c r="J153" s="754"/>
      <c r="K153" s="754"/>
      <c r="L153" s="753"/>
      <c r="M153" s="753"/>
      <c r="N153" s="753"/>
      <c r="O153" s="753"/>
      <c r="P153" s="753"/>
      <c r="Q153" s="755"/>
      <c r="R153" s="675"/>
      <c r="S153" s="216" t="str">
        <f t="array" ref="S153">IFERROR(INDEX('💻シート作成'!$D$6:$D1001, MATCH(T153, '💻シート作成'!$E$6:$E1001, 0)), "")</f>
        <v/>
      </c>
      <c r="T153" s="172"/>
      <c r="U153" s="678"/>
      <c r="V153" s="728"/>
      <c r="W153" s="675"/>
      <c r="X153" s="770"/>
      <c r="Y153" s="675"/>
      <c r="Z153" s="675"/>
    </row>
    <row r="154" hidden="1" outlineLevel="1">
      <c r="A154" s="675"/>
      <c r="B154" s="756"/>
      <c r="C154" s="757">
        <f>IF(C143="","",IF(DAY(C143+1)=1,"",C143+1))</f>
        <v>46067</v>
      </c>
      <c r="D154" s="758" t="str">
        <f>TEXT(C154,"ddd")</f>
        <v>土</v>
      </c>
      <c r="E154" s="759"/>
      <c r="F154" s="787" t="s">
        <v>527</v>
      </c>
      <c r="G154" s="788"/>
      <c r="H154" s="789"/>
      <c r="I154" s="790">
        <v>0.0</v>
      </c>
      <c r="J154" s="758"/>
      <c r="K154" s="758"/>
      <c r="L154" s="768"/>
      <c r="M154" s="768"/>
      <c r="N154" s="787"/>
      <c r="O154" s="791"/>
      <c r="P154" s="784"/>
      <c r="Q154" s="785"/>
      <c r="R154" s="675"/>
      <c r="S154" s="216" t="str">
        <f t="array" ref="S154">IFERROR(INDEX('💻シート作成'!$D$6:$D1001, MATCH(T154, '💻シート作成'!$E$6:$E1001, 0)), "")</f>
        <v/>
      </c>
      <c r="T154" s="172"/>
      <c r="U154" s="678"/>
      <c r="V154" s="728"/>
      <c r="W154" s="675"/>
      <c r="X154" s="770"/>
      <c r="Y154" s="675"/>
      <c r="Z154" s="675"/>
    </row>
    <row r="155" hidden="1" outlineLevel="1">
      <c r="A155" s="675"/>
      <c r="B155" s="742"/>
      <c r="C155" s="743"/>
      <c r="D155" s="743"/>
      <c r="E155" s="743"/>
      <c r="F155" s="743"/>
      <c r="G155" s="744"/>
      <c r="H155" s="743"/>
      <c r="I155" s="743"/>
      <c r="J155" s="743"/>
      <c r="K155" s="743"/>
      <c r="L155" s="768"/>
      <c r="M155" s="768"/>
      <c r="N155" s="743"/>
      <c r="O155" s="746"/>
      <c r="Q155" s="741"/>
      <c r="R155" s="675"/>
      <c r="S155" s="216" t="str">
        <f t="array" ref="S155">IFERROR(INDEX('💻シート作成'!$D$6:$D1001, MATCH(T155, '💻シート作成'!$E$6:$E1001, 0)), "")</f>
        <v/>
      </c>
      <c r="T155" s="172"/>
      <c r="U155" s="678"/>
      <c r="V155" s="728"/>
      <c r="W155" s="675"/>
      <c r="X155" s="770"/>
      <c r="Y155" s="675"/>
      <c r="Z155" s="675"/>
    </row>
    <row r="156" hidden="1" outlineLevel="1">
      <c r="A156" s="675"/>
      <c r="B156" s="742"/>
      <c r="C156" s="743"/>
      <c r="D156" s="743"/>
      <c r="E156" s="743"/>
      <c r="F156" s="743"/>
      <c r="G156" s="744"/>
      <c r="H156" s="743"/>
      <c r="I156" s="743"/>
      <c r="J156" s="743"/>
      <c r="K156" s="743"/>
      <c r="L156" s="768"/>
      <c r="M156" s="768"/>
      <c r="N156" s="743"/>
      <c r="O156" s="746"/>
      <c r="Q156" s="741"/>
      <c r="R156" s="675"/>
      <c r="S156" s="216" t="str">
        <f t="array" ref="S156">IFERROR(INDEX('💻シート作成'!$D$6:$D1001, MATCH(T156, '💻シート作成'!$E$6:$E1001, 0)), "")</f>
        <v/>
      </c>
      <c r="T156" s="172"/>
      <c r="U156" s="678"/>
      <c r="V156" s="728"/>
      <c r="W156" s="675"/>
      <c r="X156" s="770"/>
      <c r="Y156" s="675"/>
      <c r="Z156" s="675"/>
    </row>
    <row r="157" hidden="1" outlineLevel="1">
      <c r="A157" s="675"/>
      <c r="B157" s="742"/>
      <c r="C157" s="743"/>
      <c r="D157" s="743"/>
      <c r="E157" s="743"/>
      <c r="F157" s="743"/>
      <c r="G157" s="744"/>
      <c r="H157" s="743"/>
      <c r="I157" s="743"/>
      <c r="J157" s="743"/>
      <c r="K157" s="743"/>
      <c r="L157" s="769"/>
      <c r="M157" s="768"/>
      <c r="N157" s="743"/>
      <c r="O157" s="746"/>
      <c r="Q157" s="741"/>
      <c r="R157" s="675"/>
      <c r="S157" s="216" t="str">
        <f t="array" ref="S157">IFERROR(INDEX('💻シート作成'!$D$6:$D1001, MATCH(T157, '💻シート作成'!$E$6:$E1001, 0)), "")</f>
        <v/>
      </c>
      <c r="T157" s="172"/>
      <c r="U157" s="678"/>
      <c r="V157" s="728"/>
      <c r="W157" s="675"/>
      <c r="X157" s="770"/>
      <c r="Y157" s="675"/>
      <c r="Z157" s="675"/>
    </row>
    <row r="158" hidden="1" outlineLevel="1">
      <c r="A158" s="675"/>
      <c r="B158" s="742"/>
      <c r="C158" s="743"/>
      <c r="D158" s="743"/>
      <c r="E158" s="743"/>
      <c r="F158" s="743"/>
      <c r="G158" s="744"/>
      <c r="H158" s="743"/>
      <c r="I158" s="743"/>
      <c r="J158" s="743"/>
      <c r="K158" s="743"/>
      <c r="L158" s="769"/>
      <c r="M158" s="768"/>
      <c r="N158" s="743"/>
      <c r="O158" s="746"/>
      <c r="Q158" s="741"/>
      <c r="R158" s="675"/>
      <c r="S158" s="216" t="str">
        <f t="array" ref="S158">IFERROR(INDEX('💻シート作成'!$D$6:$D1001, MATCH(T158, '💻シート作成'!$E$6:$E1001, 0)), "")</f>
        <v/>
      </c>
      <c r="T158" s="172"/>
      <c r="U158" s="678"/>
      <c r="V158" s="728"/>
      <c r="W158" s="675"/>
      <c r="X158" s="770"/>
      <c r="Y158" s="675"/>
      <c r="Z158" s="675"/>
    </row>
    <row r="159" hidden="1" outlineLevel="1">
      <c r="A159" s="675"/>
      <c r="B159" s="742"/>
      <c r="C159" s="743"/>
      <c r="D159" s="743"/>
      <c r="E159" s="743"/>
      <c r="F159" s="743"/>
      <c r="G159" s="744"/>
      <c r="H159" s="743"/>
      <c r="I159" s="743"/>
      <c r="J159" s="743"/>
      <c r="K159" s="743"/>
      <c r="L159" s="769"/>
      <c r="M159" s="768"/>
      <c r="N159" s="743"/>
      <c r="O159" s="746"/>
      <c r="Q159" s="741"/>
      <c r="R159" s="675"/>
      <c r="S159" s="216" t="str">
        <f t="array" ref="S159">IFERROR(INDEX('💻シート作成'!$D$6:$D1001, MATCH(T159, '💻シート作成'!$E$6:$E1001, 0)), "")</f>
        <v/>
      </c>
      <c r="T159" s="172"/>
      <c r="U159" s="678"/>
      <c r="V159" s="728"/>
      <c r="W159" s="675"/>
      <c r="X159" s="770"/>
      <c r="Y159" s="675"/>
      <c r="Z159" s="675"/>
    </row>
    <row r="160" hidden="1" outlineLevel="1">
      <c r="A160" s="675"/>
      <c r="B160" s="742"/>
      <c r="C160" s="743"/>
      <c r="D160" s="743"/>
      <c r="E160" s="743"/>
      <c r="F160" s="743"/>
      <c r="G160" s="744"/>
      <c r="H160" s="743"/>
      <c r="I160" s="743"/>
      <c r="J160" s="743"/>
      <c r="K160" s="743"/>
      <c r="L160" s="769"/>
      <c r="M160" s="768"/>
      <c r="N160" s="743"/>
      <c r="O160" s="746"/>
      <c r="Q160" s="741"/>
      <c r="R160" s="675"/>
      <c r="S160" s="216" t="str">
        <f t="array" ref="S160">IFERROR(INDEX('💻シート作成'!$D$6:$D1001, MATCH(T160, '💻シート作成'!$E$6:$E1001, 0)), "")</f>
        <v/>
      </c>
      <c r="T160" s="172"/>
      <c r="U160" s="678"/>
      <c r="V160" s="728"/>
      <c r="W160" s="675"/>
      <c r="X160" s="770"/>
      <c r="Y160" s="675"/>
      <c r="Z160" s="675"/>
    </row>
    <row r="161" hidden="1" outlineLevel="1">
      <c r="A161" s="675"/>
      <c r="B161" s="742"/>
      <c r="C161" s="743"/>
      <c r="D161" s="743"/>
      <c r="E161" s="743"/>
      <c r="F161" s="743"/>
      <c r="G161" s="744"/>
      <c r="H161" s="743"/>
      <c r="I161" s="743"/>
      <c r="J161" s="743"/>
      <c r="K161" s="743"/>
      <c r="L161" s="769"/>
      <c r="M161" s="768"/>
      <c r="N161" s="743"/>
      <c r="O161" s="746"/>
      <c r="Q161" s="741"/>
      <c r="R161" s="675"/>
      <c r="S161" s="216" t="str">
        <f t="array" ref="S161">IFERROR(INDEX('💻シート作成'!$D$6:$D1001, MATCH(T161, '💻シート作成'!$E$6:$E1001, 0)), "")</f>
        <v/>
      </c>
      <c r="T161" s="172"/>
      <c r="U161" s="678"/>
      <c r="V161" s="728"/>
      <c r="W161" s="675"/>
      <c r="X161" s="770"/>
      <c r="Y161" s="675"/>
      <c r="Z161" s="675"/>
    </row>
    <row r="162" hidden="1" outlineLevel="1">
      <c r="A162" s="675"/>
      <c r="B162" s="742"/>
      <c r="C162" s="743"/>
      <c r="D162" s="743"/>
      <c r="E162" s="743"/>
      <c r="F162" s="743"/>
      <c r="G162" s="744"/>
      <c r="H162" s="743"/>
      <c r="I162" s="743"/>
      <c r="J162" s="743"/>
      <c r="K162" s="743"/>
      <c r="L162" s="769"/>
      <c r="M162" s="768"/>
      <c r="N162" s="743"/>
      <c r="O162" s="746"/>
      <c r="Q162" s="741"/>
      <c r="R162" s="675"/>
      <c r="S162" s="216" t="str">
        <f t="array" ref="S162">IFERROR(INDEX('💻シート作成'!$D$6:$D1001, MATCH(T162, '💻シート作成'!$E$6:$E1001, 0)), "")</f>
        <v/>
      </c>
      <c r="T162" s="172"/>
      <c r="U162" s="678"/>
      <c r="V162" s="728"/>
      <c r="W162" s="675"/>
      <c r="X162" s="770"/>
      <c r="Y162" s="675"/>
      <c r="Z162" s="675"/>
    </row>
    <row r="163" hidden="1" outlineLevel="1">
      <c r="A163" s="675"/>
      <c r="B163" s="742"/>
      <c r="C163" s="743"/>
      <c r="D163" s="743"/>
      <c r="E163" s="743"/>
      <c r="F163" s="710"/>
      <c r="G163" s="711"/>
      <c r="H163" s="710"/>
      <c r="I163" s="710"/>
      <c r="J163" s="710"/>
      <c r="K163" s="710"/>
      <c r="L163" s="769"/>
      <c r="M163" s="768"/>
      <c r="N163" s="710"/>
      <c r="O163" s="713"/>
      <c r="P163" s="714"/>
      <c r="Q163" s="750"/>
      <c r="R163" s="675"/>
      <c r="S163" s="216" t="str">
        <f t="array" ref="S163">IFERROR(INDEX('💻シート作成'!$D$6:$D1001, MATCH(T163, '💻シート作成'!$E$6:$E1001, 0)), "")</f>
        <v/>
      </c>
      <c r="T163" s="172"/>
      <c r="U163" s="678"/>
      <c r="V163" s="728"/>
      <c r="W163" s="675"/>
      <c r="X163" s="770"/>
      <c r="Y163" s="675"/>
      <c r="Z163" s="675"/>
    </row>
    <row r="164" hidden="1" outlineLevel="1">
      <c r="A164" s="675"/>
      <c r="B164" s="751"/>
      <c r="C164" s="710"/>
      <c r="D164" s="710"/>
      <c r="E164" s="710"/>
      <c r="F164" s="771" t="s">
        <v>528</v>
      </c>
      <c r="G164" s="772"/>
      <c r="H164" s="754"/>
      <c r="I164" s="754"/>
      <c r="J164" s="754"/>
      <c r="K164" s="754"/>
      <c r="L164" s="772"/>
      <c r="M164" s="772"/>
      <c r="N164" s="772"/>
      <c r="O164" s="772"/>
      <c r="P164" s="772"/>
      <c r="Q164" s="773"/>
      <c r="R164" s="675"/>
      <c r="S164" s="216" t="str">
        <f t="array" ref="S164">IFERROR(INDEX('💻シート作成'!$D$6:$D1001, MATCH(T164, '💻シート作成'!$E$6:$E1001, 0)), "")</f>
        <v/>
      </c>
      <c r="T164" s="172"/>
      <c r="U164" s="678"/>
      <c r="V164" s="728"/>
      <c r="W164" s="675"/>
      <c r="X164" s="770"/>
      <c r="Y164" s="675"/>
      <c r="Z164" s="675"/>
    </row>
    <row r="165" hidden="1" outlineLevel="1">
      <c r="A165" s="675"/>
      <c r="B165" s="774"/>
      <c r="C165" s="775">
        <f>IF(C154="","",IF(DAY(C154+1)=1,"",C154+1))</f>
        <v>46068</v>
      </c>
      <c r="D165" s="776" t="str">
        <f>TEXT(C165,"ddd")</f>
        <v>日</v>
      </c>
      <c r="E165" s="777"/>
      <c r="F165" s="778" t="s">
        <v>527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28"/>
      <c r="W165" s="675"/>
      <c r="X165" s="770"/>
      <c r="Y165" s="675"/>
      <c r="Z165" s="675"/>
    </row>
    <row r="166" hidden="1" outlineLevel="1">
      <c r="A166" s="675"/>
      <c r="B166" s="742"/>
      <c r="C166" s="743"/>
      <c r="D166" s="743"/>
      <c r="E166" s="743"/>
      <c r="F166" s="743"/>
      <c r="G166" s="744"/>
      <c r="H166" s="743"/>
      <c r="I166" s="743"/>
      <c r="J166" s="743"/>
      <c r="K166" s="743"/>
      <c r="L166" s="782"/>
      <c r="M166" s="782"/>
      <c r="N166" s="743"/>
      <c r="O166" s="746"/>
      <c r="Q166" s="741"/>
      <c r="R166" s="675"/>
      <c r="S166" s="216" t="str">
        <f t="array" ref="S166">IFERROR(INDEX('💻シート作成'!$D$6:$D1001, MATCH(T166, '💻シート作成'!$E$6:$E1001, 0)), "")</f>
        <v/>
      </c>
      <c r="T166" s="172"/>
      <c r="U166" s="678"/>
      <c r="V166" s="728"/>
      <c r="W166" s="675"/>
      <c r="X166" s="770"/>
      <c r="Y166" s="675"/>
      <c r="Z166" s="675"/>
    </row>
    <row r="167" hidden="1" outlineLevel="1">
      <c r="A167" s="675"/>
      <c r="B167" s="742"/>
      <c r="C167" s="743"/>
      <c r="D167" s="743"/>
      <c r="E167" s="743"/>
      <c r="F167" s="743"/>
      <c r="G167" s="744"/>
      <c r="H167" s="743"/>
      <c r="I167" s="743"/>
      <c r="J167" s="743"/>
      <c r="K167" s="743"/>
      <c r="L167" s="782"/>
      <c r="M167" s="782"/>
      <c r="N167" s="743"/>
      <c r="O167" s="746"/>
      <c r="Q167" s="741"/>
      <c r="R167" s="675"/>
      <c r="S167" s="216" t="str">
        <f t="array" ref="S167">IFERROR(INDEX('💻シート作成'!$D$6:$D1001, MATCH(T167, '💻シート作成'!$E$6:$E1001, 0)), "")</f>
        <v/>
      </c>
      <c r="T167" s="172"/>
      <c r="U167" s="678"/>
      <c r="V167" s="728"/>
      <c r="W167" s="675"/>
      <c r="X167" s="770"/>
      <c r="Y167" s="675"/>
      <c r="Z167" s="675"/>
    </row>
    <row r="168" hidden="1" outlineLevel="1">
      <c r="A168" s="675"/>
      <c r="B168" s="742"/>
      <c r="C168" s="743"/>
      <c r="D168" s="743"/>
      <c r="E168" s="743"/>
      <c r="F168" s="743"/>
      <c r="G168" s="744"/>
      <c r="H168" s="743"/>
      <c r="I168" s="743"/>
      <c r="J168" s="743"/>
      <c r="K168" s="743"/>
      <c r="L168" s="786"/>
      <c r="M168" s="782"/>
      <c r="N168" s="743"/>
      <c r="O168" s="746"/>
      <c r="Q168" s="741"/>
      <c r="R168" s="675"/>
      <c r="S168" s="216" t="str">
        <f t="array" ref="S168">IFERROR(INDEX('💻シート作成'!$D$6:$D1001, MATCH(T168, '💻シート作成'!$E$6:$E1001, 0)), "")</f>
        <v/>
      </c>
      <c r="T168" s="172"/>
      <c r="U168" s="678"/>
      <c r="V168" s="728"/>
      <c r="W168" s="675"/>
      <c r="X168" s="770"/>
      <c r="Y168" s="675"/>
      <c r="Z168" s="675"/>
    </row>
    <row r="169" hidden="1" outlineLevel="1">
      <c r="A169" s="675"/>
      <c r="B169" s="742"/>
      <c r="C169" s="743"/>
      <c r="D169" s="743"/>
      <c r="E169" s="743"/>
      <c r="F169" s="743"/>
      <c r="G169" s="744"/>
      <c r="H169" s="743"/>
      <c r="I169" s="743"/>
      <c r="J169" s="743"/>
      <c r="K169" s="743"/>
      <c r="L169" s="786"/>
      <c r="M169" s="782"/>
      <c r="N169" s="743"/>
      <c r="O169" s="746"/>
      <c r="Q169" s="741"/>
      <c r="R169" s="675"/>
      <c r="S169" s="216" t="str">
        <f t="array" ref="S169">IFERROR(INDEX('💻シート作成'!$D$6:$D1001, MATCH(T169, '💻シート作成'!$E$6:$E1001, 0)), "")</f>
        <v/>
      </c>
      <c r="T169" s="172"/>
      <c r="U169" s="678"/>
      <c r="V169" s="728"/>
      <c r="W169" s="675"/>
      <c r="X169" s="770"/>
      <c r="Y169" s="675"/>
      <c r="Z169" s="675"/>
    </row>
    <row r="170" hidden="1" outlineLevel="1">
      <c r="A170" s="675"/>
      <c r="B170" s="742"/>
      <c r="C170" s="743"/>
      <c r="D170" s="743"/>
      <c r="E170" s="743"/>
      <c r="F170" s="743"/>
      <c r="G170" s="744"/>
      <c r="H170" s="743"/>
      <c r="I170" s="743"/>
      <c r="J170" s="743"/>
      <c r="K170" s="743"/>
      <c r="L170" s="786"/>
      <c r="M170" s="782"/>
      <c r="N170" s="743"/>
      <c r="O170" s="746"/>
      <c r="Q170" s="741"/>
      <c r="R170" s="675"/>
      <c r="S170" s="216" t="str">
        <f t="array" ref="S170">IFERROR(INDEX('💻シート作成'!$D$6:$D1001, MATCH(T170, '💻シート作成'!$E$6:$E1001, 0)), "")</f>
        <v/>
      </c>
      <c r="T170" s="172"/>
      <c r="U170" s="678"/>
      <c r="V170" s="728"/>
      <c r="W170" s="675"/>
      <c r="X170" s="770"/>
      <c r="Y170" s="675"/>
      <c r="Z170" s="675"/>
    </row>
    <row r="171" hidden="1" outlineLevel="1">
      <c r="A171" s="675"/>
      <c r="B171" s="742"/>
      <c r="C171" s="743"/>
      <c r="D171" s="743"/>
      <c r="E171" s="743"/>
      <c r="F171" s="743"/>
      <c r="G171" s="744"/>
      <c r="H171" s="743"/>
      <c r="I171" s="743"/>
      <c r="J171" s="743"/>
      <c r="K171" s="743"/>
      <c r="L171" s="786"/>
      <c r="M171" s="782"/>
      <c r="N171" s="743"/>
      <c r="O171" s="746"/>
      <c r="Q171" s="741"/>
      <c r="R171" s="675"/>
      <c r="S171" s="216" t="str">
        <f t="array" ref="S171">IFERROR(INDEX('💻シート作成'!$D$6:$D1001, MATCH(T171, '💻シート作成'!$E$6:$E1001, 0)), "")</f>
        <v/>
      </c>
      <c r="T171" s="172"/>
      <c r="U171" s="678"/>
      <c r="V171" s="728"/>
      <c r="W171" s="675"/>
      <c r="X171" s="770"/>
      <c r="Y171" s="675"/>
      <c r="Z171" s="675"/>
    </row>
    <row r="172" hidden="1" outlineLevel="1">
      <c r="A172" s="675"/>
      <c r="B172" s="742"/>
      <c r="C172" s="743"/>
      <c r="D172" s="743"/>
      <c r="E172" s="743"/>
      <c r="F172" s="743"/>
      <c r="G172" s="744"/>
      <c r="H172" s="743"/>
      <c r="I172" s="743"/>
      <c r="J172" s="743"/>
      <c r="K172" s="743"/>
      <c r="L172" s="786"/>
      <c r="M172" s="782"/>
      <c r="N172" s="743"/>
      <c r="O172" s="746"/>
      <c r="Q172" s="741"/>
      <c r="R172" s="675"/>
      <c r="S172" s="216" t="str">
        <f t="array" ref="S172">IFERROR(INDEX('💻シート作成'!$D$6:$D1001, MATCH(T172, '💻シート作成'!$E$6:$E1001, 0)), "")</f>
        <v/>
      </c>
      <c r="T172" s="172"/>
      <c r="U172" s="678"/>
      <c r="V172" s="728"/>
      <c r="W172" s="675"/>
      <c r="X172" s="770"/>
      <c r="Y172" s="675"/>
      <c r="Z172" s="675"/>
    </row>
    <row r="173" hidden="1" outlineLevel="1">
      <c r="A173" s="675"/>
      <c r="B173" s="742"/>
      <c r="C173" s="743"/>
      <c r="D173" s="743"/>
      <c r="E173" s="743"/>
      <c r="F173" s="743"/>
      <c r="G173" s="744"/>
      <c r="H173" s="743"/>
      <c r="I173" s="743"/>
      <c r="J173" s="743"/>
      <c r="K173" s="743"/>
      <c r="L173" s="786"/>
      <c r="M173" s="782"/>
      <c r="N173" s="743"/>
      <c r="O173" s="746"/>
      <c r="Q173" s="741"/>
      <c r="R173" s="675"/>
      <c r="S173" s="216" t="str">
        <f t="array" ref="S173">IFERROR(INDEX('💻シート作成'!$D$6:$D1001, MATCH(T173, '💻シート作成'!$E$6:$E1001, 0)), "")</f>
        <v/>
      </c>
      <c r="T173" s="172"/>
      <c r="U173" s="678"/>
      <c r="V173" s="728"/>
      <c r="W173" s="675"/>
      <c r="X173" s="770"/>
      <c r="Y173" s="675"/>
      <c r="Z173" s="675"/>
    </row>
    <row r="174" hidden="1" outlineLevel="1">
      <c r="A174" s="675"/>
      <c r="B174" s="742"/>
      <c r="C174" s="743"/>
      <c r="D174" s="743"/>
      <c r="E174" s="743"/>
      <c r="F174" s="710"/>
      <c r="G174" s="711"/>
      <c r="H174" s="710"/>
      <c r="I174" s="710"/>
      <c r="J174" s="710"/>
      <c r="K174" s="710"/>
      <c r="L174" s="786"/>
      <c r="M174" s="782"/>
      <c r="N174" s="710"/>
      <c r="O174" s="713"/>
      <c r="P174" s="714"/>
      <c r="Q174" s="750"/>
      <c r="R174" s="675"/>
      <c r="S174" s="216" t="str">
        <f t="array" ref="S174">IFERROR(INDEX('💻シート作成'!$D$6:$D1001, MATCH(T174, '💻シート作成'!$E$6:$E1001, 0)), "")</f>
        <v/>
      </c>
      <c r="T174" s="172"/>
      <c r="U174" s="678"/>
      <c r="V174" s="728"/>
      <c r="W174" s="675"/>
      <c r="X174" s="770"/>
      <c r="Y174" s="675"/>
      <c r="Z174" s="675"/>
    </row>
    <row r="175" hidden="1" outlineLevel="1">
      <c r="A175" s="675"/>
      <c r="B175" s="751"/>
      <c r="C175" s="710"/>
      <c r="D175" s="710"/>
      <c r="E175" s="710"/>
      <c r="F175" s="752" t="s">
        <v>528</v>
      </c>
      <c r="G175" s="753"/>
      <c r="H175" s="754"/>
      <c r="I175" s="754"/>
      <c r="J175" s="754"/>
      <c r="K175" s="754"/>
      <c r="L175" s="753"/>
      <c r="M175" s="753"/>
      <c r="N175" s="753"/>
      <c r="O175" s="753"/>
      <c r="P175" s="753"/>
      <c r="Q175" s="755"/>
      <c r="R175" s="675"/>
      <c r="S175" s="216" t="str">
        <f t="array" ref="S175">IFERROR(INDEX('💻シート作成'!$D$6:$D1001, MATCH(T175, '💻シート作成'!$E$6:$E1001, 0)), "")</f>
        <v/>
      </c>
      <c r="T175" s="172"/>
      <c r="U175" s="678"/>
      <c r="V175" s="728"/>
      <c r="W175" s="675"/>
      <c r="X175" s="770"/>
      <c r="Y175" s="675"/>
      <c r="Z175" s="675"/>
    </row>
    <row r="176" collapsed="1">
      <c r="A176" s="675"/>
      <c r="B176" s="792" t="s">
        <v>531</v>
      </c>
      <c r="C176" s="793"/>
      <c r="D176" s="793"/>
      <c r="E176" s="793"/>
      <c r="F176" s="794"/>
      <c r="G176" s="795"/>
      <c r="H176" s="796"/>
      <c r="I176" s="796"/>
      <c r="J176" s="797"/>
      <c r="K176" s="797"/>
      <c r="L176" s="795"/>
      <c r="M176" s="795"/>
      <c r="N176" s="798"/>
      <c r="O176" s="799"/>
      <c r="P176" s="799"/>
      <c r="Q176" s="800"/>
      <c r="R176" s="675"/>
      <c r="S176" s="216" t="str">
        <f t="array" ref="S176">IFERROR(INDEX('💻シート作成'!$D$6:$D1001, MATCH(T176, '💻シート作成'!$E$6:$E1001, 0)), "")</f>
        <v/>
      </c>
      <c r="T176" s="172"/>
      <c r="U176" s="678"/>
      <c r="V176" s="728"/>
      <c r="W176" s="675"/>
      <c r="X176" s="770"/>
      <c r="Y176" s="675"/>
      <c r="Z176" s="675"/>
    </row>
    <row r="177" hidden="1" outlineLevel="1">
      <c r="A177" s="675"/>
      <c r="B177" s="756"/>
      <c r="C177" s="757">
        <f>IF(C165="","",IF(DAY(C165+1)=1,"",C165+1))</f>
        <v>46069</v>
      </c>
      <c r="D177" s="758" t="str">
        <f>TEXT(C177,"ddd")</f>
        <v>月</v>
      </c>
      <c r="E177" s="759"/>
      <c r="F177" s="787" t="s">
        <v>527</v>
      </c>
      <c r="G177" s="788"/>
      <c r="H177" s="789"/>
      <c r="I177" s="790">
        <v>0.0</v>
      </c>
      <c r="J177" s="758"/>
      <c r="K177" s="758"/>
      <c r="L177" s="768"/>
      <c r="M177" s="768"/>
      <c r="N177" s="787"/>
      <c r="O177" s="791"/>
      <c r="P177" s="784"/>
      <c r="Q177" s="785"/>
      <c r="R177" s="675"/>
      <c r="S177" s="216" t="str">
        <f t="array" ref="S177">IFERROR(INDEX('💻シート作成'!$D$6:$D1001, MATCH(T177, '💻シート作成'!$E$6:$E1001, 0)), "")</f>
        <v/>
      </c>
      <c r="T177" s="172"/>
      <c r="U177" s="678"/>
      <c r="V177" s="728"/>
      <c r="W177" s="675"/>
      <c r="X177" s="770"/>
      <c r="Y177" s="675"/>
      <c r="Z177" s="675"/>
    </row>
    <row r="178" hidden="1" outlineLevel="1">
      <c r="A178" s="675"/>
      <c r="B178" s="742"/>
      <c r="C178" s="743"/>
      <c r="D178" s="743"/>
      <c r="E178" s="743"/>
      <c r="F178" s="743"/>
      <c r="G178" s="744"/>
      <c r="H178" s="743"/>
      <c r="I178" s="743"/>
      <c r="J178" s="743"/>
      <c r="K178" s="743"/>
      <c r="L178" s="768"/>
      <c r="M178" s="768"/>
      <c r="N178" s="743"/>
      <c r="O178" s="746"/>
      <c r="Q178" s="741"/>
      <c r="R178" s="675"/>
      <c r="S178" s="216" t="str">
        <f t="array" ref="S178">IFERROR(INDEX('💻シート作成'!$D$6:$D1001, MATCH(T178, '💻シート作成'!$E$6:$E1001, 0)), "")</f>
        <v/>
      </c>
      <c r="T178" s="172"/>
      <c r="U178" s="678"/>
      <c r="V178" s="728"/>
      <c r="W178" s="675"/>
      <c r="X178" s="770"/>
      <c r="Y178" s="675"/>
      <c r="Z178" s="675"/>
    </row>
    <row r="179" hidden="1" outlineLevel="1">
      <c r="A179" s="675"/>
      <c r="B179" s="742"/>
      <c r="C179" s="743"/>
      <c r="D179" s="743"/>
      <c r="E179" s="743"/>
      <c r="F179" s="743"/>
      <c r="G179" s="744"/>
      <c r="H179" s="743"/>
      <c r="I179" s="743"/>
      <c r="J179" s="743"/>
      <c r="K179" s="743"/>
      <c r="L179" s="768"/>
      <c r="M179" s="768"/>
      <c r="N179" s="743"/>
      <c r="O179" s="746"/>
      <c r="Q179" s="741"/>
      <c r="R179" s="675"/>
      <c r="S179" s="216" t="str">
        <f t="array" ref="S179">IFERROR(INDEX('💻シート作成'!$D$6:$D1001, MATCH(T179, '💻シート作成'!$E$6:$E1001, 0)), "")</f>
        <v/>
      </c>
      <c r="T179" s="172"/>
      <c r="U179" s="678"/>
      <c r="V179" s="728"/>
      <c r="W179" s="675"/>
      <c r="X179" s="770"/>
      <c r="Y179" s="675"/>
      <c r="Z179" s="675"/>
    </row>
    <row r="180" hidden="1" outlineLevel="1">
      <c r="A180" s="675"/>
      <c r="B180" s="742"/>
      <c r="C180" s="743"/>
      <c r="D180" s="743"/>
      <c r="E180" s="743"/>
      <c r="F180" s="743"/>
      <c r="G180" s="744"/>
      <c r="H180" s="743"/>
      <c r="I180" s="743"/>
      <c r="J180" s="743"/>
      <c r="K180" s="743"/>
      <c r="L180" s="769"/>
      <c r="M180" s="768"/>
      <c r="N180" s="743"/>
      <c r="O180" s="746"/>
      <c r="Q180" s="741"/>
      <c r="R180" s="675"/>
      <c r="S180" s="216" t="str">
        <f t="array" ref="S180">IFERROR(INDEX('💻シート作成'!$D$6:$D1001, MATCH(T180, '💻シート作成'!$E$6:$E1001, 0)), "")</f>
        <v/>
      </c>
      <c r="T180" s="172"/>
      <c r="U180" s="678"/>
      <c r="V180" s="728"/>
      <c r="W180" s="675"/>
      <c r="X180" s="770"/>
      <c r="Y180" s="675"/>
      <c r="Z180" s="675"/>
    </row>
    <row r="181" hidden="1" outlineLevel="1">
      <c r="A181" s="675"/>
      <c r="B181" s="742"/>
      <c r="C181" s="743"/>
      <c r="D181" s="743"/>
      <c r="E181" s="743"/>
      <c r="F181" s="743"/>
      <c r="G181" s="744"/>
      <c r="H181" s="743"/>
      <c r="I181" s="743"/>
      <c r="J181" s="743"/>
      <c r="K181" s="743"/>
      <c r="L181" s="769"/>
      <c r="M181" s="768"/>
      <c r="N181" s="743"/>
      <c r="O181" s="746"/>
      <c r="Q181" s="741"/>
      <c r="R181" s="675"/>
      <c r="S181" s="216" t="str">
        <f t="array" ref="S181">IFERROR(INDEX('💻シート作成'!$D$6:$D1001, MATCH(T181, '💻シート作成'!$E$6:$E1001, 0)), "")</f>
        <v/>
      </c>
      <c r="T181" s="172"/>
      <c r="U181" s="678"/>
      <c r="V181" s="728"/>
      <c r="W181" s="675"/>
      <c r="X181" s="770"/>
      <c r="Y181" s="675"/>
      <c r="Z181" s="675"/>
    </row>
    <row r="182" hidden="1" outlineLevel="1">
      <c r="A182" s="675"/>
      <c r="B182" s="742"/>
      <c r="C182" s="743"/>
      <c r="D182" s="743"/>
      <c r="E182" s="743"/>
      <c r="F182" s="743"/>
      <c r="G182" s="744"/>
      <c r="H182" s="743"/>
      <c r="I182" s="743"/>
      <c r="J182" s="743"/>
      <c r="K182" s="743"/>
      <c r="L182" s="769"/>
      <c r="M182" s="768"/>
      <c r="N182" s="743"/>
      <c r="O182" s="746"/>
      <c r="Q182" s="741"/>
      <c r="R182" s="675"/>
      <c r="S182" s="216" t="str">
        <f t="array" ref="S182">IFERROR(INDEX('💻シート作成'!$D$6:$D1001, MATCH(T182, '💻シート作成'!$E$6:$E1001, 0)), "")</f>
        <v/>
      </c>
      <c r="T182" s="172"/>
      <c r="U182" s="678"/>
      <c r="V182" s="728"/>
      <c r="W182" s="675"/>
      <c r="X182" s="770"/>
      <c r="Y182" s="675"/>
      <c r="Z182" s="675"/>
    </row>
    <row r="183" hidden="1" outlineLevel="1">
      <c r="A183" s="675"/>
      <c r="B183" s="742"/>
      <c r="C183" s="743"/>
      <c r="D183" s="743"/>
      <c r="E183" s="743"/>
      <c r="F183" s="743"/>
      <c r="G183" s="744"/>
      <c r="H183" s="743"/>
      <c r="I183" s="743"/>
      <c r="J183" s="743"/>
      <c r="K183" s="743"/>
      <c r="L183" s="769"/>
      <c r="M183" s="768"/>
      <c r="N183" s="743"/>
      <c r="O183" s="746"/>
      <c r="Q183" s="741"/>
      <c r="R183" s="675"/>
      <c r="S183" s="216" t="str">
        <f t="array" ref="S183">IFERROR(INDEX('💻シート作成'!$D$6:$D1001, MATCH(T183, '💻シート作成'!$E$6:$E1001, 0)), "")</f>
        <v/>
      </c>
      <c r="T183" s="172"/>
      <c r="U183" s="678"/>
      <c r="V183" s="728"/>
      <c r="W183" s="675"/>
      <c r="X183" s="770"/>
      <c r="Y183" s="675"/>
      <c r="Z183" s="675"/>
    </row>
    <row r="184" hidden="1" outlineLevel="1">
      <c r="A184" s="675"/>
      <c r="B184" s="742"/>
      <c r="C184" s="743"/>
      <c r="D184" s="743"/>
      <c r="E184" s="743"/>
      <c r="F184" s="743"/>
      <c r="G184" s="744"/>
      <c r="H184" s="743"/>
      <c r="I184" s="743"/>
      <c r="J184" s="743"/>
      <c r="K184" s="743"/>
      <c r="L184" s="769"/>
      <c r="M184" s="768"/>
      <c r="N184" s="743"/>
      <c r="O184" s="746"/>
      <c r="Q184" s="741"/>
      <c r="R184" s="675"/>
      <c r="S184" s="216" t="str">
        <f t="array" ref="S184">IFERROR(INDEX('💻シート作成'!$D$6:$D1001, MATCH(T184, '💻シート作成'!$E$6:$E1001, 0)), "")</f>
        <v/>
      </c>
      <c r="T184" s="172"/>
      <c r="U184" s="678"/>
      <c r="V184" s="728"/>
      <c r="W184" s="675"/>
      <c r="X184" s="770"/>
      <c r="Y184" s="675"/>
      <c r="Z184" s="675"/>
    </row>
    <row r="185" hidden="1" outlineLevel="1">
      <c r="A185" s="675"/>
      <c r="B185" s="742"/>
      <c r="C185" s="743"/>
      <c r="D185" s="743"/>
      <c r="E185" s="743"/>
      <c r="F185" s="743"/>
      <c r="G185" s="744"/>
      <c r="H185" s="743"/>
      <c r="I185" s="743"/>
      <c r="J185" s="743"/>
      <c r="K185" s="743"/>
      <c r="L185" s="769"/>
      <c r="M185" s="768"/>
      <c r="N185" s="743"/>
      <c r="O185" s="746"/>
      <c r="Q185" s="741"/>
      <c r="R185" s="675"/>
      <c r="S185" s="216" t="str">
        <f t="array" ref="S185">IFERROR(INDEX('💻シート作成'!$D$6:$D1001, MATCH(T185, '💻シート作成'!$E$6:$E1001, 0)), "")</f>
        <v/>
      </c>
      <c r="T185" s="172"/>
      <c r="U185" s="678"/>
      <c r="V185" s="728"/>
      <c r="W185" s="675"/>
      <c r="X185" s="770"/>
      <c r="Y185" s="675"/>
      <c r="Z185" s="675"/>
    </row>
    <row r="186" hidden="1" outlineLevel="1">
      <c r="A186" s="675"/>
      <c r="B186" s="742"/>
      <c r="C186" s="743"/>
      <c r="D186" s="743"/>
      <c r="E186" s="743"/>
      <c r="F186" s="710"/>
      <c r="G186" s="711"/>
      <c r="H186" s="710"/>
      <c r="I186" s="710"/>
      <c r="J186" s="710"/>
      <c r="K186" s="710"/>
      <c r="L186" s="769"/>
      <c r="M186" s="768"/>
      <c r="N186" s="710"/>
      <c r="O186" s="713"/>
      <c r="P186" s="714"/>
      <c r="Q186" s="750"/>
      <c r="R186" s="675"/>
      <c r="S186" s="216" t="str">
        <f t="array" ref="S186">IFERROR(INDEX('💻シート作成'!$D$6:$D1001, MATCH(T186, '💻シート作成'!$E$6:$E1001, 0)), "")</f>
        <v/>
      </c>
      <c r="T186" s="172"/>
      <c r="U186" s="678"/>
      <c r="V186" s="728"/>
      <c r="W186" s="675"/>
      <c r="X186" s="770"/>
      <c r="Y186" s="675"/>
      <c r="Z186" s="675"/>
    </row>
    <row r="187" hidden="1" outlineLevel="1">
      <c r="A187" s="675"/>
      <c r="B187" s="751"/>
      <c r="C187" s="710"/>
      <c r="D187" s="710"/>
      <c r="E187" s="710"/>
      <c r="F187" s="771" t="s">
        <v>528</v>
      </c>
      <c r="G187" s="772"/>
      <c r="H187" s="754"/>
      <c r="I187" s="754"/>
      <c r="J187" s="754"/>
      <c r="K187" s="754"/>
      <c r="L187" s="772"/>
      <c r="M187" s="772"/>
      <c r="N187" s="772"/>
      <c r="O187" s="772"/>
      <c r="P187" s="772"/>
      <c r="Q187" s="773"/>
      <c r="R187" s="675"/>
      <c r="S187" s="216" t="str">
        <f t="array" ref="S187">IFERROR(INDEX('💻シート作成'!$D$6:$D1001, MATCH(T187, '💻シート作成'!$E$6:$E1001, 0)), "")</f>
        <v/>
      </c>
      <c r="T187" s="172"/>
      <c r="U187" s="678"/>
      <c r="V187" s="728"/>
      <c r="W187" s="675"/>
      <c r="X187" s="770"/>
      <c r="Y187" s="675"/>
      <c r="Z187" s="675"/>
    </row>
    <row r="188" hidden="1" outlineLevel="1">
      <c r="A188" s="675"/>
      <c r="B188" s="774"/>
      <c r="C188" s="775">
        <f>IF(C177="","",IF(DAY(C177+1)=1,"",C177+1))</f>
        <v>46070</v>
      </c>
      <c r="D188" s="776" t="str">
        <f>TEXT(C188,"ddd")</f>
        <v>火</v>
      </c>
      <c r="E188" s="777"/>
      <c r="F188" s="778" t="s">
        <v>527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28"/>
      <c r="W188" s="675"/>
      <c r="X188" s="770"/>
      <c r="Y188" s="675"/>
      <c r="Z188" s="675"/>
    </row>
    <row r="189" hidden="1" outlineLevel="1">
      <c r="A189" s="675"/>
      <c r="B189" s="742"/>
      <c r="C189" s="743"/>
      <c r="D189" s="743"/>
      <c r="E189" s="743"/>
      <c r="F189" s="743"/>
      <c r="G189" s="744"/>
      <c r="H189" s="743"/>
      <c r="I189" s="743"/>
      <c r="J189" s="743"/>
      <c r="K189" s="743"/>
      <c r="L189" s="782"/>
      <c r="M189" s="782"/>
      <c r="N189" s="743"/>
      <c r="O189" s="746"/>
      <c r="Q189" s="741"/>
      <c r="R189" s="675"/>
      <c r="S189" s="216" t="str">
        <f t="array" ref="S189">IFERROR(INDEX('💻シート作成'!$D$6:$D1001, MATCH(T189, '💻シート作成'!$E$6:$E1001, 0)), "")</f>
        <v/>
      </c>
      <c r="T189" s="172"/>
      <c r="U189" s="678"/>
      <c r="V189" s="728"/>
      <c r="W189" s="675"/>
      <c r="X189" s="770"/>
      <c r="Y189" s="675"/>
      <c r="Z189" s="675"/>
    </row>
    <row r="190" hidden="1" outlineLevel="1">
      <c r="A190" s="675"/>
      <c r="B190" s="742"/>
      <c r="C190" s="743"/>
      <c r="D190" s="743"/>
      <c r="E190" s="743"/>
      <c r="F190" s="743"/>
      <c r="G190" s="744"/>
      <c r="H190" s="743"/>
      <c r="I190" s="743"/>
      <c r="J190" s="743"/>
      <c r="K190" s="743"/>
      <c r="L190" s="782"/>
      <c r="M190" s="782"/>
      <c r="N190" s="743"/>
      <c r="O190" s="746"/>
      <c r="Q190" s="741"/>
      <c r="R190" s="675"/>
      <c r="S190" s="216" t="str">
        <f t="array" ref="S190">IFERROR(INDEX('💻シート作成'!$D$6:$D1001, MATCH(T190, '💻シート作成'!$E$6:$E1001, 0)), "")</f>
        <v/>
      </c>
      <c r="T190" s="172"/>
      <c r="U190" s="678"/>
      <c r="V190" s="728"/>
      <c r="W190" s="675"/>
      <c r="X190" s="770"/>
      <c r="Y190" s="675"/>
      <c r="Z190" s="675"/>
    </row>
    <row r="191" hidden="1" outlineLevel="1">
      <c r="A191" s="675"/>
      <c r="B191" s="742"/>
      <c r="C191" s="743"/>
      <c r="D191" s="743"/>
      <c r="E191" s="743"/>
      <c r="F191" s="743"/>
      <c r="G191" s="744"/>
      <c r="H191" s="743"/>
      <c r="I191" s="743"/>
      <c r="J191" s="743"/>
      <c r="K191" s="743"/>
      <c r="L191" s="786"/>
      <c r="M191" s="782"/>
      <c r="N191" s="743"/>
      <c r="O191" s="746"/>
      <c r="Q191" s="741"/>
      <c r="R191" s="675"/>
      <c r="S191" s="216" t="str">
        <f t="array" ref="S191">IFERROR(INDEX('💻シート作成'!$D$6:$D1001, MATCH(T191, '💻シート作成'!$E$6:$E1001, 0)), "")</f>
        <v/>
      </c>
      <c r="T191" s="172"/>
      <c r="U191" s="678"/>
      <c r="V191" s="728"/>
      <c r="W191" s="675"/>
      <c r="X191" s="770"/>
      <c r="Y191" s="675"/>
      <c r="Z191" s="675"/>
    </row>
    <row r="192" hidden="1" outlineLevel="1">
      <c r="A192" s="675"/>
      <c r="B192" s="742"/>
      <c r="C192" s="743"/>
      <c r="D192" s="743"/>
      <c r="E192" s="743"/>
      <c r="F192" s="743"/>
      <c r="G192" s="744"/>
      <c r="H192" s="743"/>
      <c r="I192" s="743"/>
      <c r="J192" s="743"/>
      <c r="K192" s="743"/>
      <c r="L192" s="786"/>
      <c r="M192" s="782"/>
      <c r="N192" s="743"/>
      <c r="O192" s="746"/>
      <c r="Q192" s="741"/>
      <c r="R192" s="675"/>
      <c r="S192" s="216" t="str">
        <f t="array" ref="S192">IFERROR(INDEX('💻シート作成'!$D$6:$D1001, MATCH(T192, '💻シート作成'!$E$6:$E1001, 0)), "")</f>
        <v/>
      </c>
      <c r="T192" s="172"/>
      <c r="U192" s="678"/>
      <c r="V192" s="728"/>
      <c r="W192" s="675"/>
      <c r="X192" s="770"/>
      <c r="Y192" s="675"/>
      <c r="Z192" s="675"/>
    </row>
    <row r="193" hidden="1" outlineLevel="1">
      <c r="A193" s="675"/>
      <c r="B193" s="742"/>
      <c r="C193" s="743"/>
      <c r="D193" s="743"/>
      <c r="E193" s="743"/>
      <c r="F193" s="743"/>
      <c r="G193" s="744"/>
      <c r="H193" s="743"/>
      <c r="I193" s="743"/>
      <c r="J193" s="743"/>
      <c r="K193" s="743"/>
      <c r="L193" s="786"/>
      <c r="M193" s="782"/>
      <c r="N193" s="743"/>
      <c r="O193" s="746"/>
      <c r="Q193" s="741"/>
      <c r="R193" s="675"/>
      <c r="S193" s="216" t="str">
        <f t="array" ref="S193">IFERROR(INDEX('💻シート作成'!$D$6:$D1001, MATCH(T193, '💻シート作成'!$E$6:$E1001, 0)), "")</f>
        <v/>
      </c>
      <c r="T193" s="172"/>
      <c r="U193" s="678"/>
      <c r="V193" s="728"/>
      <c r="W193" s="675"/>
      <c r="X193" s="770"/>
      <c r="Y193" s="675"/>
      <c r="Z193" s="675"/>
    </row>
    <row r="194" hidden="1" outlineLevel="1">
      <c r="A194" s="675"/>
      <c r="B194" s="742"/>
      <c r="C194" s="743"/>
      <c r="D194" s="743"/>
      <c r="E194" s="743"/>
      <c r="F194" s="743"/>
      <c r="G194" s="744"/>
      <c r="H194" s="743"/>
      <c r="I194" s="743"/>
      <c r="J194" s="743"/>
      <c r="K194" s="743"/>
      <c r="L194" s="786"/>
      <c r="M194" s="782"/>
      <c r="N194" s="743"/>
      <c r="O194" s="746"/>
      <c r="Q194" s="741"/>
      <c r="R194" s="675"/>
      <c r="S194" s="216" t="str">
        <f t="array" ref="S194">IFERROR(INDEX('💻シート作成'!$D$6:$D1001, MATCH(T194, '💻シート作成'!$E$6:$E1001, 0)), "")</f>
        <v/>
      </c>
      <c r="T194" s="172"/>
      <c r="U194" s="678"/>
      <c r="V194" s="728"/>
      <c r="W194" s="675"/>
      <c r="X194" s="770"/>
      <c r="Y194" s="675"/>
      <c r="Z194" s="675"/>
    </row>
    <row r="195" hidden="1" outlineLevel="1">
      <c r="A195" s="675"/>
      <c r="B195" s="742"/>
      <c r="C195" s="743"/>
      <c r="D195" s="743"/>
      <c r="E195" s="743"/>
      <c r="F195" s="743"/>
      <c r="G195" s="744"/>
      <c r="H195" s="743"/>
      <c r="I195" s="743"/>
      <c r="J195" s="743"/>
      <c r="K195" s="743"/>
      <c r="L195" s="786"/>
      <c r="M195" s="782"/>
      <c r="N195" s="743"/>
      <c r="O195" s="746"/>
      <c r="Q195" s="741"/>
      <c r="R195" s="675"/>
      <c r="S195" s="216" t="str">
        <f t="array" ref="S195">IFERROR(INDEX('💻シート作成'!$D$6:$D1001, MATCH(T195, '💻シート作成'!$E$6:$E1001, 0)), "")</f>
        <v/>
      </c>
      <c r="T195" s="172"/>
      <c r="U195" s="678"/>
      <c r="V195" s="728"/>
      <c r="W195" s="675"/>
      <c r="X195" s="770"/>
      <c r="Y195" s="675"/>
      <c r="Z195" s="675"/>
    </row>
    <row r="196" hidden="1" outlineLevel="1">
      <c r="A196" s="675"/>
      <c r="B196" s="742"/>
      <c r="C196" s="743"/>
      <c r="D196" s="743"/>
      <c r="E196" s="743"/>
      <c r="F196" s="743"/>
      <c r="G196" s="744"/>
      <c r="H196" s="743"/>
      <c r="I196" s="743"/>
      <c r="J196" s="743"/>
      <c r="K196" s="743"/>
      <c r="L196" s="786"/>
      <c r="M196" s="782"/>
      <c r="N196" s="743"/>
      <c r="O196" s="746"/>
      <c r="Q196" s="741"/>
      <c r="R196" s="675"/>
      <c r="S196" s="216" t="str">
        <f t="array" ref="S196">IFERROR(INDEX('💻シート作成'!$D$6:$D1001, MATCH(T196, '💻シート作成'!$E$6:$E1001, 0)), "")</f>
        <v/>
      </c>
      <c r="T196" s="172"/>
      <c r="U196" s="678"/>
      <c r="V196" s="728"/>
      <c r="W196" s="675"/>
      <c r="X196" s="770"/>
      <c r="Y196" s="675"/>
      <c r="Z196" s="675"/>
    </row>
    <row r="197" hidden="1" outlineLevel="1">
      <c r="A197" s="675"/>
      <c r="B197" s="742"/>
      <c r="C197" s="743"/>
      <c r="D197" s="743"/>
      <c r="E197" s="743"/>
      <c r="F197" s="710"/>
      <c r="G197" s="711"/>
      <c r="H197" s="710"/>
      <c r="I197" s="710"/>
      <c r="J197" s="710"/>
      <c r="K197" s="710"/>
      <c r="L197" s="786"/>
      <c r="M197" s="782"/>
      <c r="N197" s="710"/>
      <c r="O197" s="713"/>
      <c r="P197" s="714"/>
      <c r="Q197" s="750"/>
      <c r="R197" s="675"/>
      <c r="S197" s="216" t="str">
        <f t="array" ref="S197">IFERROR(INDEX('💻シート作成'!$D$6:$D1001, MATCH(T197, '💻シート作成'!$E$6:$E1001, 0)), "")</f>
        <v/>
      </c>
      <c r="T197" s="172"/>
      <c r="U197" s="678"/>
      <c r="V197" s="728"/>
      <c r="W197" s="675"/>
      <c r="X197" s="770"/>
      <c r="Y197" s="675"/>
      <c r="Z197" s="675"/>
    </row>
    <row r="198" hidden="1" outlineLevel="1">
      <c r="A198" s="675"/>
      <c r="B198" s="751"/>
      <c r="C198" s="710"/>
      <c r="D198" s="710"/>
      <c r="E198" s="710"/>
      <c r="F198" s="752" t="s">
        <v>528</v>
      </c>
      <c r="G198" s="753"/>
      <c r="H198" s="754"/>
      <c r="I198" s="754"/>
      <c r="J198" s="754"/>
      <c r="K198" s="754"/>
      <c r="L198" s="753"/>
      <c r="M198" s="753"/>
      <c r="N198" s="753"/>
      <c r="O198" s="753"/>
      <c r="P198" s="753"/>
      <c r="Q198" s="755"/>
      <c r="R198" s="675"/>
      <c r="S198" s="216" t="str">
        <f t="array" ref="S198">IFERROR(INDEX('💻シート作成'!$D$6:$D1001, MATCH(T198, '💻シート作成'!$E$6:$E1001, 0)), "")</f>
        <v/>
      </c>
      <c r="T198" s="172"/>
      <c r="U198" s="678"/>
      <c r="V198" s="728"/>
      <c r="W198" s="675"/>
      <c r="X198" s="770"/>
      <c r="Y198" s="675"/>
      <c r="Z198" s="675"/>
    </row>
    <row r="199" hidden="1" outlineLevel="1">
      <c r="A199" s="675"/>
      <c r="B199" s="756"/>
      <c r="C199" s="757">
        <f>IF(C188="","",IF(DAY(C188+1)=1,"",C188+1))</f>
        <v>46071</v>
      </c>
      <c r="D199" s="758" t="str">
        <f>TEXT(C199,"ddd")</f>
        <v>水</v>
      </c>
      <c r="E199" s="759"/>
      <c r="F199" s="787" t="s">
        <v>527</v>
      </c>
      <c r="G199" s="788"/>
      <c r="H199" s="789"/>
      <c r="I199" s="790">
        <v>0.0</v>
      </c>
      <c r="J199" s="758"/>
      <c r="K199" s="758"/>
      <c r="L199" s="768"/>
      <c r="M199" s="768"/>
      <c r="N199" s="787"/>
      <c r="O199" s="791"/>
      <c r="P199" s="784"/>
      <c r="Q199" s="785"/>
      <c r="R199" s="675"/>
      <c r="S199" s="216" t="str">
        <f t="array" ref="S199">IFERROR(INDEX('💻シート作成'!$D$6:$D1001, MATCH(T199, '💻シート作成'!$E$6:$E1001, 0)), "")</f>
        <v/>
      </c>
      <c r="T199" s="172"/>
      <c r="U199" s="678"/>
      <c r="V199" s="728"/>
      <c r="W199" s="675"/>
      <c r="X199" s="770"/>
      <c r="Y199" s="675"/>
      <c r="Z199" s="675"/>
    </row>
    <row r="200" hidden="1" outlineLevel="1">
      <c r="A200" s="675"/>
      <c r="B200" s="742"/>
      <c r="C200" s="743"/>
      <c r="D200" s="743"/>
      <c r="E200" s="743"/>
      <c r="F200" s="743"/>
      <c r="G200" s="744"/>
      <c r="H200" s="743"/>
      <c r="I200" s="743"/>
      <c r="J200" s="743"/>
      <c r="K200" s="743"/>
      <c r="L200" s="768"/>
      <c r="M200" s="768"/>
      <c r="N200" s="743"/>
      <c r="O200" s="746"/>
      <c r="Q200" s="741"/>
      <c r="R200" s="675"/>
      <c r="S200" s="216" t="str">
        <f t="array" ref="S200">IFERROR(INDEX('💻シート作成'!$D$6:$D1001, MATCH(T200, '💻シート作成'!$E$6:$E1001, 0)), "")</f>
        <v/>
      </c>
      <c r="T200" s="172"/>
      <c r="U200" s="678"/>
      <c r="V200" s="728"/>
      <c r="W200" s="675"/>
      <c r="X200" s="770"/>
      <c r="Y200" s="675"/>
      <c r="Z200" s="675"/>
    </row>
    <row r="201" hidden="1" outlineLevel="1">
      <c r="A201" s="675"/>
      <c r="B201" s="742"/>
      <c r="C201" s="743"/>
      <c r="D201" s="743"/>
      <c r="E201" s="743"/>
      <c r="F201" s="743"/>
      <c r="G201" s="744"/>
      <c r="H201" s="743"/>
      <c r="I201" s="743"/>
      <c r="J201" s="743"/>
      <c r="K201" s="743"/>
      <c r="L201" s="768"/>
      <c r="M201" s="768"/>
      <c r="N201" s="743"/>
      <c r="O201" s="746"/>
      <c r="Q201" s="741"/>
      <c r="R201" s="675"/>
      <c r="S201" s="216" t="str">
        <f t="array" ref="S201">IFERROR(INDEX('💻シート作成'!$D$6:$D1001, MATCH(T201, '💻シート作成'!$E$6:$E1001, 0)), "")</f>
        <v/>
      </c>
      <c r="T201" s="172"/>
      <c r="U201" s="678"/>
      <c r="V201" s="728"/>
      <c r="W201" s="675"/>
      <c r="X201" s="770"/>
      <c r="Y201" s="675"/>
      <c r="Z201" s="675"/>
    </row>
    <row r="202" hidden="1" outlineLevel="1">
      <c r="A202" s="675"/>
      <c r="B202" s="742"/>
      <c r="C202" s="743"/>
      <c r="D202" s="743"/>
      <c r="E202" s="743"/>
      <c r="F202" s="743"/>
      <c r="G202" s="744"/>
      <c r="H202" s="743"/>
      <c r="I202" s="743"/>
      <c r="J202" s="743"/>
      <c r="K202" s="743"/>
      <c r="L202" s="769"/>
      <c r="M202" s="768"/>
      <c r="N202" s="743"/>
      <c r="O202" s="746"/>
      <c r="Q202" s="741"/>
      <c r="R202" s="675"/>
      <c r="S202" s="216" t="str">
        <f t="array" ref="S202">IFERROR(INDEX('💻シート作成'!$D$6:$D1001, MATCH(T202, '💻シート作成'!$E$6:$E1001, 0)), "")</f>
        <v/>
      </c>
      <c r="T202" s="172"/>
      <c r="U202" s="678"/>
      <c r="V202" s="728"/>
      <c r="W202" s="675"/>
      <c r="X202" s="770"/>
      <c r="Y202" s="675"/>
      <c r="Z202" s="675"/>
    </row>
    <row r="203" hidden="1" outlineLevel="1">
      <c r="A203" s="675"/>
      <c r="B203" s="742"/>
      <c r="C203" s="743"/>
      <c r="D203" s="743"/>
      <c r="E203" s="743"/>
      <c r="F203" s="743"/>
      <c r="G203" s="744"/>
      <c r="H203" s="743"/>
      <c r="I203" s="743"/>
      <c r="J203" s="743"/>
      <c r="K203" s="743"/>
      <c r="L203" s="769"/>
      <c r="M203" s="768"/>
      <c r="N203" s="743"/>
      <c r="O203" s="746"/>
      <c r="Q203" s="741"/>
      <c r="R203" s="675"/>
      <c r="S203" s="216" t="str">
        <f t="array" ref="S203">IFERROR(INDEX('💻シート作成'!$D$6:$D1001, MATCH(T203, '💻シート作成'!$E$6:$E1001, 0)), "")</f>
        <v/>
      </c>
      <c r="T203" s="172"/>
      <c r="U203" s="678"/>
      <c r="V203" s="728"/>
      <c r="W203" s="675"/>
      <c r="X203" s="770"/>
      <c r="Y203" s="675"/>
      <c r="Z203" s="675"/>
    </row>
    <row r="204" hidden="1" outlineLevel="1">
      <c r="A204" s="675"/>
      <c r="B204" s="742"/>
      <c r="C204" s="743"/>
      <c r="D204" s="743"/>
      <c r="E204" s="743"/>
      <c r="F204" s="743"/>
      <c r="G204" s="744"/>
      <c r="H204" s="743"/>
      <c r="I204" s="743"/>
      <c r="J204" s="743"/>
      <c r="K204" s="743"/>
      <c r="L204" s="769"/>
      <c r="M204" s="768"/>
      <c r="N204" s="743"/>
      <c r="O204" s="746"/>
      <c r="Q204" s="741"/>
      <c r="R204" s="675"/>
      <c r="S204" s="216" t="str">
        <f t="array" ref="S204">IFERROR(INDEX('💻シート作成'!$D$6:$D1001, MATCH(T204, '💻シート作成'!$E$6:$E1001, 0)), "")</f>
        <v/>
      </c>
      <c r="T204" s="172"/>
      <c r="U204" s="678"/>
      <c r="V204" s="728"/>
      <c r="W204" s="675"/>
      <c r="X204" s="770"/>
      <c r="Y204" s="675"/>
      <c r="Z204" s="675"/>
    </row>
    <row r="205" hidden="1" outlineLevel="1">
      <c r="A205" s="675"/>
      <c r="B205" s="742"/>
      <c r="C205" s="743"/>
      <c r="D205" s="743"/>
      <c r="E205" s="743"/>
      <c r="F205" s="743"/>
      <c r="G205" s="744"/>
      <c r="H205" s="743"/>
      <c r="I205" s="743"/>
      <c r="J205" s="743"/>
      <c r="K205" s="743"/>
      <c r="L205" s="769"/>
      <c r="M205" s="768"/>
      <c r="N205" s="743"/>
      <c r="O205" s="746"/>
      <c r="Q205" s="741"/>
      <c r="R205" s="675"/>
      <c r="S205" s="216" t="str">
        <f t="array" ref="S205">IFERROR(INDEX('💻シート作成'!$D$6:$D1001, MATCH(T205, '💻シート作成'!$E$6:$E1001, 0)), "")</f>
        <v/>
      </c>
      <c r="T205" s="172"/>
      <c r="U205" s="678"/>
      <c r="V205" s="728"/>
      <c r="W205" s="675"/>
      <c r="X205" s="770"/>
      <c r="Y205" s="675"/>
      <c r="Z205" s="675"/>
    </row>
    <row r="206" hidden="1" outlineLevel="1">
      <c r="A206" s="675"/>
      <c r="B206" s="742"/>
      <c r="C206" s="743"/>
      <c r="D206" s="743"/>
      <c r="E206" s="743"/>
      <c r="F206" s="743"/>
      <c r="G206" s="744"/>
      <c r="H206" s="743"/>
      <c r="I206" s="743"/>
      <c r="J206" s="743"/>
      <c r="K206" s="743"/>
      <c r="L206" s="769"/>
      <c r="M206" s="768"/>
      <c r="N206" s="743"/>
      <c r="O206" s="746"/>
      <c r="Q206" s="741"/>
      <c r="R206" s="675"/>
      <c r="S206" s="216" t="str">
        <f t="array" ref="S206">IFERROR(INDEX('💻シート作成'!$D$6:$D1001, MATCH(T206, '💻シート作成'!$E$6:$E1001, 0)), "")</f>
        <v/>
      </c>
      <c r="T206" s="172"/>
      <c r="U206" s="678"/>
      <c r="V206" s="728"/>
      <c r="W206" s="675"/>
      <c r="X206" s="770"/>
      <c r="Y206" s="675"/>
      <c r="Z206" s="675"/>
    </row>
    <row r="207" hidden="1" outlineLevel="1">
      <c r="A207" s="675"/>
      <c r="B207" s="742"/>
      <c r="C207" s="743"/>
      <c r="D207" s="743"/>
      <c r="E207" s="743"/>
      <c r="F207" s="743"/>
      <c r="G207" s="744"/>
      <c r="H207" s="743"/>
      <c r="I207" s="743"/>
      <c r="J207" s="743"/>
      <c r="K207" s="743"/>
      <c r="L207" s="769"/>
      <c r="M207" s="768"/>
      <c r="N207" s="743"/>
      <c r="O207" s="746"/>
      <c r="Q207" s="741"/>
      <c r="R207" s="675"/>
      <c r="S207" s="216" t="str">
        <f t="array" ref="S207">IFERROR(INDEX('💻シート作成'!$D$6:$D1001, MATCH(T207, '💻シート作成'!$E$6:$E1001, 0)), "")</f>
        <v/>
      </c>
      <c r="T207" s="172"/>
      <c r="U207" s="678"/>
      <c r="V207" s="728"/>
      <c r="W207" s="675"/>
      <c r="X207" s="770"/>
      <c r="Y207" s="675"/>
      <c r="Z207" s="675"/>
    </row>
    <row r="208" hidden="1" outlineLevel="1">
      <c r="A208" s="675"/>
      <c r="B208" s="742"/>
      <c r="C208" s="743"/>
      <c r="D208" s="743"/>
      <c r="E208" s="743"/>
      <c r="F208" s="710"/>
      <c r="G208" s="711"/>
      <c r="H208" s="710"/>
      <c r="I208" s="710"/>
      <c r="J208" s="710"/>
      <c r="K208" s="710"/>
      <c r="L208" s="769"/>
      <c r="M208" s="768"/>
      <c r="N208" s="710"/>
      <c r="O208" s="713"/>
      <c r="P208" s="714"/>
      <c r="Q208" s="750"/>
      <c r="R208" s="675"/>
      <c r="S208" s="216" t="str">
        <f t="array" ref="S208">IFERROR(INDEX('💻シート作成'!$D$6:$D1001, MATCH(T208, '💻シート作成'!$E$6:$E1001, 0)), "")</f>
        <v/>
      </c>
      <c r="T208" s="172"/>
      <c r="U208" s="678"/>
      <c r="V208" s="728"/>
      <c r="W208" s="675"/>
      <c r="X208" s="770"/>
      <c r="Y208" s="675"/>
      <c r="Z208" s="675"/>
    </row>
    <row r="209" hidden="1" outlineLevel="1">
      <c r="A209" s="675"/>
      <c r="B209" s="751"/>
      <c r="C209" s="710"/>
      <c r="D209" s="710"/>
      <c r="E209" s="710"/>
      <c r="F209" s="771" t="s">
        <v>528</v>
      </c>
      <c r="G209" s="772"/>
      <c r="H209" s="754"/>
      <c r="I209" s="754"/>
      <c r="J209" s="754"/>
      <c r="K209" s="754"/>
      <c r="L209" s="772"/>
      <c r="M209" s="772"/>
      <c r="N209" s="772"/>
      <c r="O209" s="772"/>
      <c r="P209" s="772"/>
      <c r="Q209" s="773"/>
      <c r="R209" s="675"/>
      <c r="S209" s="216" t="str">
        <f t="array" ref="S209">IFERROR(INDEX('💻シート作成'!$D$6:$D1001, MATCH(T209, '💻シート作成'!$E$6:$E1001, 0)), "")</f>
        <v/>
      </c>
      <c r="T209" s="172"/>
      <c r="U209" s="678"/>
      <c r="V209" s="728"/>
      <c r="W209" s="675"/>
      <c r="X209" s="770"/>
      <c r="Y209" s="675"/>
      <c r="Z209" s="675"/>
    </row>
    <row r="210" hidden="1" outlineLevel="1">
      <c r="A210" s="675"/>
      <c r="B210" s="774"/>
      <c r="C210" s="775">
        <f>IF(C199="","",IF(DAY(C199+1)=1,"",C199+1))</f>
        <v>46072</v>
      </c>
      <c r="D210" s="776" t="str">
        <f>TEXT(C210,"ddd")</f>
        <v>木</v>
      </c>
      <c r="E210" s="777"/>
      <c r="F210" s="778" t="s">
        <v>527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28"/>
      <c r="W210" s="675"/>
      <c r="X210" s="770"/>
      <c r="Y210" s="675"/>
      <c r="Z210" s="675"/>
    </row>
    <row r="211" hidden="1" outlineLevel="1">
      <c r="A211" s="675"/>
      <c r="B211" s="742"/>
      <c r="C211" s="743"/>
      <c r="D211" s="743"/>
      <c r="E211" s="743"/>
      <c r="F211" s="743"/>
      <c r="G211" s="744"/>
      <c r="H211" s="743"/>
      <c r="I211" s="743"/>
      <c r="J211" s="743"/>
      <c r="K211" s="743"/>
      <c r="L211" s="782"/>
      <c r="M211" s="782"/>
      <c r="N211" s="743"/>
      <c r="O211" s="746"/>
      <c r="Q211" s="741"/>
      <c r="R211" s="675"/>
      <c r="S211" s="216" t="str">
        <f t="array" ref="S211">IFERROR(INDEX('💻シート作成'!$D$6:$D1001, MATCH(T211, '💻シート作成'!$E$6:$E1001, 0)), "")</f>
        <v/>
      </c>
      <c r="T211" s="172"/>
      <c r="U211" s="678"/>
      <c r="V211" s="728"/>
      <c r="W211" s="675"/>
      <c r="X211" s="770"/>
      <c r="Y211" s="675"/>
      <c r="Z211" s="675"/>
    </row>
    <row r="212" hidden="1" outlineLevel="1">
      <c r="A212" s="675"/>
      <c r="B212" s="742"/>
      <c r="C212" s="743"/>
      <c r="D212" s="743"/>
      <c r="E212" s="743"/>
      <c r="F212" s="743"/>
      <c r="G212" s="744"/>
      <c r="H212" s="743"/>
      <c r="I212" s="743"/>
      <c r="J212" s="743"/>
      <c r="K212" s="743"/>
      <c r="L212" s="782"/>
      <c r="M212" s="782"/>
      <c r="N212" s="743"/>
      <c r="O212" s="746"/>
      <c r="Q212" s="741"/>
      <c r="R212" s="675"/>
      <c r="S212" s="216" t="str">
        <f t="array" ref="S212">IFERROR(INDEX('💻シート作成'!$D$6:$D1001, MATCH(T212, '💻シート作成'!$E$6:$E1001, 0)), "")</f>
        <v/>
      </c>
      <c r="T212" s="172"/>
      <c r="U212" s="678"/>
      <c r="V212" s="728"/>
      <c r="W212" s="675"/>
      <c r="X212" s="770"/>
      <c r="Y212" s="675"/>
      <c r="Z212" s="675"/>
    </row>
    <row r="213" hidden="1" outlineLevel="1">
      <c r="A213" s="675"/>
      <c r="B213" s="742"/>
      <c r="C213" s="743"/>
      <c r="D213" s="743"/>
      <c r="E213" s="743"/>
      <c r="F213" s="743"/>
      <c r="G213" s="744"/>
      <c r="H213" s="743"/>
      <c r="I213" s="743"/>
      <c r="J213" s="743"/>
      <c r="K213" s="743"/>
      <c r="L213" s="786"/>
      <c r="M213" s="782"/>
      <c r="N213" s="743"/>
      <c r="O213" s="746"/>
      <c r="Q213" s="741"/>
      <c r="R213" s="675"/>
      <c r="S213" s="216" t="str">
        <f t="array" ref="S213">IFERROR(INDEX('💻シート作成'!$D$6:$D1001, MATCH(T213, '💻シート作成'!$E$6:$E1001, 0)), "")</f>
        <v/>
      </c>
      <c r="T213" s="172"/>
      <c r="U213" s="678"/>
      <c r="V213" s="728"/>
      <c r="W213" s="675"/>
      <c r="X213" s="770"/>
      <c r="Y213" s="675"/>
      <c r="Z213" s="675"/>
    </row>
    <row r="214" hidden="1" outlineLevel="1">
      <c r="A214" s="675"/>
      <c r="B214" s="742"/>
      <c r="C214" s="743"/>
      <c r="D214" s="743"/>
      <c r="E214" s="743"/>
      <c r="F214" s="743"/>
      <c r="G214" s="744"/>
      <c r="H214" s="743"/>
      <c r="I214" s="743"/>
      <c r="J214" s="743"/>
      <c r="K214" s="743"/>
      <c r="L214" s="786"/>
      <c r="M214" s="782"/>
      <c r="N214" s="743"/>
      <c r="O214" s="746"/>
      <c r="Q214" s="741"/>
      <c r="R214" s="675"/>
      <c r="S214" s="216" t="str">
        <f t="array" ref="S214">IFERROR(INDEX('💻シート作成'!$D$6:$D1001, MATCH(T214, '💻シート作成'!$E$6:$E1001, 0)), "")</f>
        <v/>
      </c>
      <c r="T214" s="172"/>
      <c r="U214" s="678"/>
      <c r="V214" s="728"/>
      <c r="W214" s="675"/>
      <c r="X214" s="770"/>
      <c r="Y214" s="675"/>
      <c r="Z214" s="675"/>
    </row>
    <row r="215" hidden="1" outlineLevel="1">
      <c r="A215" s="675"/>
      <c r="B215" s="742"/>
      <c r="C215" s="743"/>
      <c r="D215" s="743"/>
      <c r="E215" s="743"/>
      <c r="F215" s="743"/>
      <c r="G215" s="744"/>
      <c r="H215" s="743"/>
      <c r="I215" s="743"/>
      <c r="J215" s="743"/>
      <c r="K215" s="743"/>
      <c r="L215" s="786"/>
      <c r="M215" s="782"/>
      <c r="N215" s="743"/>
      <c r="O215" s="746"/>
      <c r="Q215" s="741"/>
      <c r="R215" s="675"/>
      <c r="S215" s="216" t="str">
        <f t="array" ref="S215">IFERROR(INDEX('💻シート作成'!$D$6:$D1001, MATCH(T215, '💻シート作成'!$E$6:$E1001, 0)), "")</f>
        <v/>
      </c>
      <c r="T215" s="172"/>
      <c r="U215" s="678"/>
      <c r="V215" s="728"/>
      <c r="W215" s="675"/>
      <c r="X215" s="770"/>
      <c r="Y215" s="675"/>
      <c r="Z215" s="675"/>
    </row>
    <row r="216" hidden="1" outlineLevel="1">
      <c r="A216" s="675"/>
      <c r="B216" s="742"/>
      <c r="C216" s="743"/>
      <c r="D216" s="743"/>
      <c r="E216" s="743"/>
      <c r="F216" s="743"/>
      <c r="G216" s="744"/>
      <c r="H216" s="743"/>
      <c r="I216" s="743"/>
      <c r="J216" s="743"/>
      <c r="K216" s="743"/>
      <c r="L216" s="786"/>
      <c r="M216" s="782"/>
      <c r="N216" s="743"/>
      <c r="O216" s="746"/>
      <c r="Q216" s="741"/>
      <c r="R216" s="675"/>
      <c r="S216" s="216" t="str">
        <f t="array" ref="S216">IFERROR(INDEX('💻シート作成'!$D$6:$D1001, MATCH(T216, '💻シート作成'!$E$6:$E1001, 0)), "")</f>
        <v/>
      </c>
      <c r="T216" s="172"/>
      <c r="U216" s="678"/>
      <c r="V216" s="728"/>
      <c r="W216" s="675"/>
      <c r="X216" s="770"/>
      <c r="Y216" s="675"/>
      <c r="Z216" s="675"/>
    </row>
    <row r="217" hidden="1" outlineLevel="1">
      <c r="A217" s="675"/>
      <c r="B217" s="742"/>
      <c r="C217" s="743"/>
      <c r="D217" s="743"/>
      <c r="E217" s="743"/>
      <c r="F217" s="743"/>
      <c r="G217" s="744"/>
      <c r="H217" s="743"/>
      <c r="I217" s="743"/>
      <c r="J217" s="743"/>
      <c r="K217" s="743"/>
      <c r="L217" s="786"/>
      <c r="M217" s="782"/>
      <c r="N217" s="743"/>
      <c r="O217" s="746"/>
      <c r="Q217" s="741"/>
      <c r="R217" s="675"/>
      <c r="S217" s="216" t="str">
        <f t="array" ref="S217">IFERROR(INDEX('💻シート作成'!$D$6:$D1001, MATCH(T217, '💻シート作成'!$E$6:$E1001, 0)), "")</f>
        <v/>
      </c>
      <c r="T217" s="172"/>
      <c r="U217" s="678"/>
      <c r="V217" s="728"/>
      <c r="W217" s="675"/>
      <c r="X217" s="770"/>
      <c r="Y217" s="675"/>
      <c r="Z217" s="675"/>
    </row>
    <row r="218" hidden="1" outlineLevel="1">
      <c r="A218" s="675"/>
      <c r="B218" s="742"/>
      <c r="C218" s="743"/>
      <c r="D218" s="743"/>
      <c r="E218" s="743"/>
      <c r="F218" s="743"/>
      <c r="G218" s="744"/>
      <c r="H218" s="743"/>
      <c r="I218" s="743"/>
      <c r="J218" s="743"/>
      <c r="K218" s="743"/>
      <c r="L218" s="786"/>
      <c r="M218" s="782"/>
      <c r="N218" s="743"/>
      <c r="O218" s="746"/>
      <c r="Q218" s="741"/>
      <c r="R218" s="675"/>
      <c r="S218" s="216" t="str">
        <f t="array" ref="S218">IFERROR(INDEX('💻シート作成'!$D$6:$D1001, MATCH(T218, '💻シート作成'!$E$6:$E1001, 0)), "")</f>
        <v/>
      </c>
      <c r="T218" s="172"/>
      <c r="U218" s="678"/>
      <c r="V218" s="728"/>
      <c r="W218" s="675"/>
      <c r="X218" s="770"/>
      <c r="Y218" s="675"/>
      <c r="Z218" s="675"/>
    </row>
    <row r="219" hidden="1" outlineLevel="1">
      <c r="A219" s="675"/>
      <c r="B219" s="742"/>
      <c r="C219" s="743"/>
      <c r="D219" s="743"/>
      <c r="E219" s="743"/>
      <c r="F219" s="710"/>
      <c r="G219" s="711"/>
      <c r="H219" s="710"/>
      <c r="I219" s="710"/>
      <c r="J219" s="710"/>
      <c r="K219" s="710"/>
      <c r="L219" s="786"/>
      <c r="M219" s="782"/>
      <c r="N219" s="710"/>
      <c r="O219" s="713"/>
      <c r="P219" s="714"/>
      <c r="Q219" s="750"/>
      <c r="R219" s="675"/>
      <c r="S219" s="216" t="str">
        <f t="array" ref="S219">IFERROR(INDEX('💻シート作成'!$D$6:$D1001, MATCH(T219, '💻シート作成'!$E$6:$E1001, 0)), "")</f>
        <v/>
      </c>
      <c r="T219" s="172"/>
      <c r="U219" s="678"/>
      <c r="V219" s="728"/>
      <c r="W219" s="675"/>
      <c r="X219" s="770"/>
      <c r="Y219" s="675"/>
      <c r="Z219" s="675"/>
    </row>
    <row r="220" hidden="1" outlineLevel="1">
      <c r="A220" s="675"/>
      <c r="B220" s="751"/>
      <c r="C220" s="710"/>
      <c r="D220" s="710"/>
      <c r="E220" s="710"/>
      <c r="F220" s="752" t="s">
        <v>528</v>
      </c>
      <c r="G220" s="753"/>
      <c r="H220" s="754"/>
      <c r="I220" s="754"/>
      <c r="J220" s="754"/>
      <c r="K220" s="754"/>
      <c r="L220" s="753"/>
      <c r="M220" s="753"/>
      <c r="N220" s="753"/>
      <c r="O220" s="753"/>
      <c r="P220" s="753"/>
      <c r="Q220" s="755"/>
      <c r="R220" s="675"/>
      <c r="S220" s="216" t="str">
        <f t="array" ref="S220">IFERROR(INDEX('💻シート作成'!$D$6:$D1001, MATCH(T220, '💻シート作成'!$E$6:$E1001, 0)), "")</f>
        <v/>
      </c>
      <c r="T220" s="172"/>
      <c r="U220" s="678"/>
      <c r="V220" s="728"/>
      <c r="W220" s="675"/>
      <c r="X220" s="770"/>
      <c r="Y220" s="675"/>
      <c r="Z220" s="675"/>
    </row>
    <row r="221" hidden="1" outlineLevel="1">
      <c r="A221" s="675"/>
      <c r="B221" s="756"/>
      <c r="C221" s="757">
        <f>IF(C210="","",IF(DAY(C210+1)=1,"",C210+1))</f>
        <v>46073</v>
      </c>
      <c r="D221" s="758" t="str">
        <f>TEXT(C221,"ddd")</f>
        <v>金</v>
      </c>
      <c r="E221" s="759"/>
      <c r="F221" s="787" t="s">
        <v>527</v>
      </c>
      <c r="G221" s="788"/>
      <c r="H221" s="789"/>
      <c r="I221" s="790">
        <v>0.0</v>
      </c>
      <c r="J221" s="758"/>
      <c r="K221" s="758"/>
      <c r="L221" s="768"/>
      <c r="M221" s="768"/>
      <c r="N221" s="787"/>
      <c r="O221" s="791"/>
      <c r="P221" s="784"/>
      <c r="Q221" s="785"/>
      <c r="R221" s="675"/>
      <c r="S221" s="216" t="str">
        <f t="array" ref="S221">IFERROR(INDEX('💻シート作成'!$D$6:$D1001, MATCH(T221, '💻シート作成'!$E$6:$E1001, 0)), "")</f>
        <v/>
      </c>
      <c r="T221" s="172"/>
      <c r="U221" s="678"/>
      <c r="V221" s="728"/>
      <c r="W221" s="675"/>
      <c r="X221" s="770"/>
      <c r="Y221" s="675"/>
      <c r="Z221" s="675"/>
    </row>
    <row r="222" hidden="1" outlineLevel="1">
      <c r="A222" s="675"/>
      <c r="B222" s="742"/>
      <c r="C222" s="743"/>
      <c r="D222" s="743"/>
      <c r="E222" s="743"/>
      <c r="F222" s="743"/>
      <c r="G222" s="744"/>
      <c r="H222" s="743"/>
      <c r="I222" s="743"/>
      <c r="J222" s="743"/>
      <c r="K222" s="743"/>
      <c r="L222" s="768"/>
      <c r="M222" s="768"/>
      <c r="N222" s="743"/>
      <c r="O222" s="746"/>
      <c r="Q222" s="741"/>
      <c r="R222" s="675"/>
      <c r="S222" s="216" t="str">
        <f t="array" ref="S222">IFERROR(INDEX('💻シート作成'!$D$6:$D1001, MATCH(T222, '💻シート作成'!$E$6:$E1001, 0)), "")</f>
        <v/>
      </c>
      <c r="T222" s="172"/>
      <c r="U222" s="678"/>
      <c r="V222" s="728"/>
      <c r="W222" s="675"/>
      <c r="X222" s="770"/>
      <c r="Y222" s="675"/>
      <c r="Z222" s="675"/>
    </row>
    <row r="223" hidden="1" outlineLevel="1">
      <c r="A223" s="675"/>
      <c r="B223" s="742"/>
      <c r="C223" s="743"/>
      <c r="D223" s="743"/>
      <c r="E223" s="743"/>
      <c r="F223" s="743"/>
      <c r="G223" s="744"/>
      <c r="H223" s="743"/>
      <c r="I223" s="743"/>
      <c r="J223" s="743"/>
      <c r="K223" s="743"/>
      <c r="L223" s="768"/>
      <c r="M223" s="768"/>
      <c r="N223" s="743"/>
      <c r="O223" s="746"/>
      <c r="Q223" s="741"/>
      <c r="R223" s="675"/>
      <c r="S223" s="216" t="str">
        <f t="array" ref="S223">IFERROR(INDEX('💻シート作成'!$D$6:$D1001, MATCH(T223, '💻シート作成'!$E$6:$E1001, 0)), "")</f>
        <v/>
      </c>
      <c r="T223" s="172"/>
      <c r="U223" s="678"/>
      <c r="V223" s="728"/>
      <c r="W223" s="675"/>
      <c r="X223" s="770"/>
      <c r="Y223" s="675"/>
      <c r="Z223" s="675"/>
    </row>
    <row r="224" hidden="1" outlineLevel="1">
      <c r="A224" s="675"/>
      <c r="B224" s="742"/>
      <c r="C224" s="743"/>
      <c r="D224" s="743"/>
      <c r="E224" s="743"/>
      <c r="F224" s="743"/>
      <c r="G224" s="744"/>
      <c r="H224" s="743"/>
      <c r="I224" s="743"/>
      <c r="J224" s="743"/>
      <c r="K224" s="743"/>
      <c r="L224" s="769"/>
      <c r="M224" s="768"/>
      <c r="N224" s="743"/>
      <c r="O224" s="746"/>
      <c r="Q224" s="741"/>
      <c r="R224" s="675"/>
      <c r="S224" s="216" t="str">
        <f t="array" ref="S224">IFERROR(INDEX('💻シート作成'!$D$6:$D1001, MATCH(T224, '💻シート作成'!$E$6:$E1001, 0)), "")</f>
        <v/>
      </c>
      <c r="T224" s="172"/>
      <c r="U224" s="678"/>
      <c r="V224" s="728"/>
      <c r="W224" s="675"/>
      <c r="X224" s="770"/>
      <c r="Y224" s="675"/>
      <c r="Z224" s="675"/>
    </row>
    <row r="225" hidden="1" outlineLevel="1">
      <c r="A225" s="675"/>
      <c r="B225" s="742"/>
      <c r="C225" s="743"/>
      <c r="D225" s="743"/>
      <c r="E225" s="743"/>
      <c r="F225" s="743"/>
      <c r="G225" s="744"/>
      <c r="H225" s="743"/>
      <c r="I225" s="743"/>
      <c r="J225" s="743"/>
      <c r="K225" s="743"/>
      <c r="L225" s="769"/>
      <c r="M225" s="768"/>
      <c r="N225" s="743"/>
      <c r="O225" s="746"/>
      <c r="Q225" s="741"/>
      <c r="R225" s="675"/>
      <c r="S225" s="216" t="str">
        <f t="array" ref="S225">IFERROR(INDEX('💻シート作成'!$D$6:$D1001, MATCH(T225, '💻シート作成'!$E$6:$E1001, 0)), "")</f>
        <v/>
      </c>
      <c r="T225" s="172"/>
      <c r="U225" s="678"/>
      <c r="V225" s="728"/>
      <c r="W225" s="675"/>
      <c r="X225" s="770"/>
      <c r="Y225" s="675"/>
      <c r="Z225" s="675"/>
    </row>
    <row r="226" hidden="1" outlineLevel="1">
      <c r="A226" s="675"/>
      <c r="B226" s="742"/>
      <c r="C226" s="743"/>
      <c r="D226" s="743"/>
      <c r="E226" s="743"/>
      <c r="F226" s="743"/>
      <c r="G226" s="744"/>
      <c r="H226" s="743"/>
      <c r="I226" s="743"/>
      <c r="J226" s="743"/>
      <c r="K226" s="743"/>
      <c r="L226" s="769"/>
      <c r="M226" s="768"/>
      <c r="N226" s="743"/>
      <c r="O226" s="746"/>
      <c r="Q226" s="741"/>
      <c r="R226" s="675"/>
      <c r="S226" s="216" t="str">
        <f t="array" ref="S226">IFERROR(INDEX('💻シート作成'!$D$6:$D1001, MATCH(T226, '💻シート作成'!$E$6:$E1001, 0)), "")</f>
        <v/>
      </c>
      <c r="T226" s="172"/>
      <c r="U226" s="678"/>
      <c r="V226" s="728"/>
      <c r="W226" s="675"/>
      <c r="X226" s="770"/>
      <c r="Y226" s="675"/>
      <c r="Z226" s="675"/>
    </row>
    <row r="227" hidden="1" outlineLevel="1">
      <c r="A227" s="675"/>
      <c r="B227" s="742"/>
      <c r="C227" s="743"/>
      <c r="D227" s="743"/>
      <c r="E227" s="743"/>
      <c r="F227" s="743"/>
      <c r="G227" s="744"/>
      <c r="H227" s="743"/>
      <c r="I227" s="743"/>
      <c r="J227" s="743"/>
      <c r="K227" s="743"/>
      <c r="L227" s="769"/>
      <c r="M227" s="768"/>
      <c r="N227" s="743"/>
      <c r="O227" s="746"/>
      <c r="Q227" s="741"/>
      <c r="R227" s="675"/>
      <c r="S227" s="216" t="str">
        <f t="array" ref="S227">IFERROR(INDEX('💻シート作成'!$D$6:$D1001, MATCH(T227, '💻シート作成'!$E$6:$E1001, 0)), "")</f>
        <v/>
      </c>
      <c r="T227" s="172"/>
      <c r="U227" s="678"/>
      <c r="V227" s="728"/>
      <c r="W227" s="675"/>
      <c r="X227" s="770"/>
      <c r="Y227" s="675"/>
      <c r="Z227" s="675"/>
    </row>
    <row r="228" hidden="1" outlineLevel="1">
      <c r="A228" s="675"/>
      <c r="B228" s="742"/>
      <c r="C228" s="743"/>
      <c r="D228" s="743"/>
      <c r="E228" s="743"/>
      <c r="F228" s="743"/>
      <c r="G228" s="744"/>
      <c r="H228" s="743"/>
      <c r="I228" s="743"/>
      <c r="J228" s="743"/>
      <c r="K228" s="743"/>
      <c r="L228" s="769"/>
      <c r="M228" s="768"/>
      <c r="N228" s="743"/>
      <c r="O228" s="746"/>
      <c r="Q228" s="741"/>
      <c r="R228" s="675"/>
      <c r="S228" s="216" t="str">
        <f t="array" ref="S228">IFERROR(INDEX('💻シート作成'!$D$6:$D1001, MATCH(T228, '💻シート作成'!$E$6:$E1001, 0)), "")</f>
        <v/>
      </c>
      <c r="T228" s="172"/>
      <c r="U228" s="678"/>
      <c r="V228" s="728"/>
      <c r="W228" s="675"/>
      <c r="X228" s="770"/>
      <c r="Y228" s="675"/>
      <c r="Z228" s="675"/>
    </row>
    <row r="229" hidden="1" outlineLevel="1">
      <c r="A229" s="675"/>
      <c r="B229" s="742"/>
      <c r="C229" s="743"/>
      <c r="D229" s="743"/>
      <c r="E229" s="743"/>
      <c r="F229" s="743"/>
      <c r="G229" s="744"/>
      <c r="H229" s="743"/>
      <c r="I229" s="743"/>
      <c r="J229" s="743"/>
      <c r="K229" s="743"/>
      <c r="L229" s="769"/>
      <c r="M229" s="768"/>
      <c r="N229" s="743"/>
      <c r="O229" s="746"/>
      <c r="Q229" s="741"/>
      <c r="R229" s="675"/>
      <c r="S229" s="216" t="str">
        <f t="array" ref="S229">IFERROR(INDEX('💻シート作成'!$D$6:$D1001, MATCH(T229, '💻シート作成'!$E$6:$E1001, 0)), "")</f>
        <v/>
      </c>
      <c r="T229" s="172"/>
      <c r="U229" s="678"/>
      <c r="V229" s="728"/>
      <c r="W229" s="675"/>
      <c r="X229" s="770"/>
      <c r="Y229" s="675"/>
      <c r="Z229" s="675"/>
    </row>
    <row r="230" hidden="1" outlineLevel="1">
      <c r="A230" s="675"/>
      <c r="B230" s="742"/>
      <c r="C230" s="743"/>
      <c r="D230" s="743"/>
      <c r="E230" s="743"/>
      <c r="F230" s="710"/>
      <c r="G230" s="711"/>
      <c r="H230" s="710"/>
      <c r="I230" s="710"/>
      <c r="J230" s="710"/>
      <c r="K230" s="710"/>
      <c r="L230" s="769"/>
      <c r="M230" s="768"/>
      <c r="N230" s="710"/>
      <c r="O230" s="713"/>
      <c r="P230" s="714"/>
      <c r="Q230" s="750"/>
      <c r="R230" s="675"/>
      <c r="S230" s="216" t="str">
        <f t="array" ref="S230">IFERROR(INDEX('💻シート作成'!$D$6:$D1001, MATCH(T230, '💻シート作成'!$E$6:$E1001, 0)), "")</f>
        <v/>
      </c>
      <c r="T230" s="172"/>
      <c r="U230" s="678"/>
      <c r="V230" s="728"/>
      <c r="W230" s="675"/>
      <c r="X230" s="770"/>
      <c r="Y230" s="675"/>
      <c r="Z230" s="675"/>
    </row>
    <row r="231" hidden="1" outlineLevel="1">
      <c r="A231" s="675"/>
      <c r="B231" s="751"/>
      <c r="C231" s="710"/>
      <c r="D231" s="710"/>
      <c r="E231" s="710"/>
      <c r="F231" s="771" t="s">
        <v>528</v>
      </c>
      <c r="G231" s="772"/>
      <c r="H231" s="754"/>
      <c r="I231" s="754"/>
      <c r="J231" s="754"/>
      <c r="K231" s="754"/>
      <c r="L231" s="772"/>
      <c r="M231" s="772"/>
      <c r="N231" s="772"/>
      <c r="O231" s="772"/>
      <c r="P231" s="772"/>
      <c r="Q231" s="773"/>
      <c r="R231" s="675"/>
      <c r="S231" s="216" t="str">
        <f t="array" ref="S231">IFERROR(INDEX('💻シート作成'!$D$6:$D1001, MATCH(T231, '💻シート作成'!$E$6:$E1001, 0)), "")</f>
        <v/>
      </c>
      <c r="T231" s="172"/>
      <c r="U231" s="678"/>
      <c r="V231" s="728"/>
      <c r="W231" s="675"/>
      <c r="X231" s="770"/>
      <c r="Y231" s="675"/>
      <c r="Z231" s="675"/>
    </row>
    <row r="232" collapsed="1">
      <c r="A232" s="675"/>
      <c r="B232" s="792" t="s">
        <v>532</v>
      </c>
      <c r="C232" s="793"/>
      <c r="D232" s="793"/>
      <c r="E232" s="793"/>
      <c r="F232" s="794"/>
      <c r="G232" s="795"/>
      <c r="H232" s="796"/>
      <c r="I232" s="796"/>
      <c r="J232" s="797"/>
      <c r="K232" s="797"/>
      <c r="L232" s="795"/>
      <c r="M232" s="795"/>
      <c r="N232" s="798"/>
      <c r="O232" s="799"/>
      <c r="P232" s="799"/>
      <c r="Q232" s="800"/>
      <c r="R232" s="675"/>
      <c r="S232" s="216" t="str">
        <f t="array" ref="S232">IFERROR(INDEX('💻シート作成'!$D$6:$D1001, MATCH(T232, '💻シート作成'!$E$6:$E1001, 0)), "")</f>
        <v/>
      </c>
      <c r="T232" s="172"/>
      <c r="U232" s="678"/>
      <c r="V232" s="728"/>
      <c r="W232" s="675"/>
      <c r="X232" s="770"/>
      <c r="Y232" s="675"/>
      <c r="Z232" s="675"/>
    </row>
    <row r="233" hidden="1" outlineLevel="1">
      <c r="A233" s="675"/>
      <c r="B233" s="774"/>
      <c r="C233" s="775">
        <f>IF(C221="","",IF(DAY(C221+1)=1,"",C221+1))</f>
        <v>46074</v>
      </c>
      <c r="D233" s="776" t="str">
        <f>TEXT(C233,"ddd")</f>
        <v>土</v>
      </c>
      <c r="E233" s="777"/>
      <c r="F233" s="778" t="s">
        <v>527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28"/>
      <c r="W233" s="675"/>
      <c r="X233" s="770"/>
      <c r="Y233" s="675"/>
      <c r="Z233" s="675"/>
    </row>
    <row r="234" hidden="1" outlineLevel="1">
      <c r="A234" s="675"/>
      <c r="B234" s="742"/>
      <c r="C234" s="743"/>
      <c r="D234" s="743"/>
      <c r="E234" s="743"/>
      <c r="F234" s="743"/>
      <c r="G234" s="744"/>
      <c r="H234" s="743"/>
      <c r="I234" s="743"/>
      <c r="J234" s="743"/>
      <c r="K234" s="743"/>
      <c r="L234" s="782"/>
      <c r="M234" s="782"/>
      <c r="N234" s="743"/>
      <c r="O234" s="746"/>
      <c r="Q234" s="741"/>
      <c r="R234" s="675"/>
      <c r="S234" s="216" t="str">
        <f t="array" ref="S234">IFERROR(INDEX('💻シート作成'!$D$6:$D1001, MATCH(T234, '💻シート作成'!$E$6:$E1001, 0)), "")</f>
        <v/>
      </c>
      <c r="T234" s="172"/>
      <c r="U234" s="678"/>
      <c r="V234" s="728"/>
      <c r="W234" s="675"/>
      <c r="X234" s="770"/>
      <c r="Y234" s="675"/>
      <c r="Z234" s="675"/>
    </row>
    <row r="235" hidden="1" outlineLevel="1">
      <c r="A235" s="675"/>
      <c r="B235" s="742"/>
      <c r="C235" s="743"/>
      <c r="D235" s="743"/>
      <c r="E235" s="743"/>
      <c r="F235" s="743"/>
      <c r="G235" s="744"/>
      <c r="H235" s="743"/>
      <c r="I235" s="743"/>
      <c r="J235" s="743"/>
      <c r="K235" s="743"/>
      <c r="L235" s="782"/>
      <c r="M235" s="782"/>
      <c r="N235" s="743"/>
      <c r="O235" s="746"/>
      <c r="Q235" s="741"/>
      <c r="R235" s="675"/>
      <c r="S235" s="216" t="str">
        <f t="array" ref="S235">IFERROR(INDEX('💻シート作成'!$D$6:$D1001, MATCH(T235, '💻シート作成'!$E$6:$E1001, 0)), "")</f>
        <v/>
      </c>
      <c r="T235" s="172"/>
      <c r="U235" s="678"/>
      <c r="V235" s="728"/>
      <c r="W235" s="675"/>
      <c r="X235" s="770"/>
      <c r="Y235" s="675"/>
      <c r="Z235" s="675"/>
    </row>
    <row r="236" hidden="1" outlineLevel="1">
      <c r="A236" s="675"/>
      <c r="B236" s="742"/>
      <c r="C236" s="743"/>
      <c r="D236" s="743"/>
      <c r="E236" s="743"/>
      <c r="F236" s="743"/>
      <c r="G236" s="744"/>
      <c r="H236" s="743"/>
      <c r="I236" s="743"/>
      <c r="J236" s="743"/>
      <c r="K236" s="743"/>
      <c r="L236" s="786"/>
      <c r="M236" s="782"/>
      <c r="N236" s="743"/>
      <c r="O236" s="746"/>
      <c r="Q236" s="741"/>
      <c r="R236" s="675"/>
      <c r="S236" s="216" t="str">
        <f t="array" ref="S236">IFERROR(INDEX('💻シート作成'!$D$6:$D1001, MATCH(T236, '💻シート作成'!$E$6:$E1001, 0)), "")</f>
        <v/>
      </c>
      <c r="T236" s="172"/>
      <c r="U236" s="678"/>
      <c r="V236" s="728"/>
      <c r="W236" s="675"/>
      <c r="X236" s="770"/>
      <c r="Y236" s="675"/>
      <c r="Z236" s="675"/>
    </row>
    <row r="237" hidden="1" outlineLevel="1">
      <c r="A237" s="675"/>
      <c r="B237" s="742"/>
      <c r="C237" s="743"/>
      <c r="D237" s="743"/>
      <c r="E237" s="743"/>
      <c r="F237" s="743"/>
      <c r="G237" s="744"/>
      <c r="H237" s="743"/>
      <c r="I237" s="743"/>
      <c r="J237" s="743"/>
      <c r="K237" s="743"/>
      <c r="L237" s="786"/>
      <c r="M237" s="782"/>
      <c r="N237" s="743"/>
      <c r="O237" s="746"/>
      <c r="Q237" s="741"/>
      <c r="R237" s="675"/>
      <c r="S237" s="216" t="str">
        <f t="array" ref="S237">IFERROR(INDEX('💻シート作成'!$D$6:$D1001, MATCH(T237, '💻シート作成'!$E$6:$E1001, 0)), "")</f>
        <v/>
      </c>
      <c r="T237" s="172"/>
      <c r="U237" s="678"/>
      <c r="V237" s="728"/>
      <c r="W237" s="675"/>
      <c r="X237" s="770"/>
      <c r="Y237" s="675"/>
      <c r="Z237" s="675"/>
    </row>
    <row r="238" hidden="1" outlineLevel="1">
      <c r="A238" s="675"/>
      <c r="B238" s="742"/>
      <c r="C238" s="743"/>
      <c r="D238" s="743"/>
      <c r="E238" s="743"/>
      <c r="F238" s="743"/>
      <c r="G238" s="744"/>
      <c r="H238" s="743"/>
      <c r="I238" s="743"/>
      <c r="J238" s="743"/>
      <c r="K238" s="743"/>
      <c r="L238" s="786"/>
      <c r="M238" s="782"/>
      <c r="N238" s="743"/>
      <c r="O238" s="746"/>
      <c r="Q238" s="741"/>
      <c r="R238" s="675"/>
      <c r="S238" s="216" t="str">
        <f t="array" ref="S238">IFERROR(INDEX('💻シート作成'!$D$6:$D1001, MATCH(T238, '💻シート作成'!$E$6:$E1001, 0)), "")</f>
        <v/>
      </c>
      <c r="T238" s="172"/>
      <c r="U238" s="678"/>
      <c r="V238" s="728"/>
      <c r="W238" s="675"/>
      <c r="X238" s="770"/>
      <c r="Y238" s="675"/>
      <c r="Z238" s="675"/>
    </row>
    <row r="239" hidden="1" outlineLevel="1">
      <c r="A239" s="675"/>
      <c r="B239" s="742"/>
      <c r="C239" s="743"/>
      <c r="D239" s="743"/>
      <c r="E239" s="743"/>
      <c r="F239" s="743"/>
      <c r="G239" s="744"/>
      <c r="H239" s="743"/>
      <c r="I239" s="743"/>
      <c r="J239" s="743"/>
      <c r="K239" s="743"/>
      <c r="L239" s="786"/>
      <c r="M239" s="782"/>
      <c r="N239" s="743"/>
      <c r="O239" s="746"/>
      <c r="Q239" s="741"/>
      <c r="R239" s="675"/>
      <c r="S239" s="216" t="str">
        <f t="array" ref="S239">IFERROR(INDEX('💻シート作成'!$D$6:$D1001, MATCH(T239, '💻シート作成'!$E$6:$E1001, 0)), "")</f>
        <v/>
      </c>
      <c r="T239" s="172"/>
      <c r="U239" s="678"/>
      <c r="V239" s="728"/>
      <c r="W239" s="675"/>
      <c r="X239" s="770"/>
      <c r="Y239" s="675"/>
      <c r="Z239" s="675"/>
    </row>
    <row r="240" hidden="1" outlineLevel="1">
      <c r="A240" s="675"/>
      <c r="B240" s="742"/>
      <c r="C240" s="743"/>
      <c r="D240" s="743"/>
      <c r="E240" s="743"/>
      <c r="F240" s="743"/>
      <c r="G240" s="744"/>
      <c r="H240" s="743"/>
      <c r="I240" s="743"/>
      <c r="J240" s="743"/>
      <c r="K240" s="743"/>
      <c r="L240" s="786"/>
      <c r="M240" s="782"/>
      <c r="N240" s="743"/>
      <c r="O240" s="746"/>
      <c r="Q240" s="741"/>
      <c r="R240" s="675"/>
      <c r="S240" s="216" t="str">
        <f t="array" ref="S240">IFERROR(INDEX('💻シート作成'!$D$6:$D1001, MATCH(T240, '💻シート作成'!$E$6:$E1001, 0)), "")</f>
        <v/>
      </c>
      <c r="T240" s="172"/>
      <c r="U240" s="678"/>
      <c r="V240" s="728"/>
      <c r="W240" s="675"/>
      <c r="X240" s="770"/>
      <c r="Y240" s="675"/>
      <c r="Z240" s="675"/>
    </row>
    <row r="241" hidden="1" outlineLevel="1">
      <c r="A241" s="675"/>
      <c r="B241" s="742"/>
      <c r="C241" s="743"/>
      <c r="D241" s="743"/>
      <c r="E241" s="743"/>
      <c r="F241" s="743"/>
      <c r="G241" s="744"/>
      <c r="H241" s="743"/>
      <c r="I241" s="743"/>
      <c r="J241" s="743"/>
      <c r="K241" s="743"/>
      <c r="L241" s="786"/>
      <c r="M241" s="782"/>
      <c r="N241" s="743"/>
      <c r="O241" s="746"/>
      <c r="Q241" s="741"/>
      <c r="R241" s="675"/>
      <c r="S241" s="216" t="str">
        <f t="array" ref="S241">IFERROR(INDEX('💻シート作成'!$D$6:$D1001, MATCH(T241, '💻シート作成'!$E$6:$E1001, 0)), "")</f>
        <v/>
      </c>
      <c r="T241" s="172"/>
      <c r="U241" s="678"/>
      <c r="V241" s="728"/>
      <c r="W241" s="675"/>
      <c r="X241" s="770"/>
      <c r="Y241" s="675"/>
      <c r="Z241" s="675"/>
    </row>
    <row r="242" hidden="1" outlineLevel="1">
      <c r="A242" s="675"/>
      <c r="B242" s="742"/>
      <c r="C242" s="743"/>
      <c r="D242" s="743"/>
      <c r="E242" s="743"/>
      <c r="F242" s="710"/>
      <c r="G242" s="711"/>
      <c r="H242" s="710"/>
      <c r="I242" s="710"/>
      <c r="J242" s="710"/>
      <c r="K242" s="710"/>
      <c r="L242" s="786"/>
      <c r="M242" s="782"/>
      <c r="N242" s="710"/>
      <c r="O242" s="713"/>
      <c r="P242" s="714"/>
      <c r="Q242" s="750"/>
      <c r="R242" s="675"/>
      <c r="S242" s="216" t="str">
        <f t="array" ref="S242">IFERROR(INDEX('💻シート作成'!$D$6:$D1001, MATCH(T242, '💻シート作成'!$E$6:$E1001, 0)), "")</f>
        <v/>
      </c>
      <c r="T242" s="172"/>
      <c r="U242" s="678"/>
      <c r="V242" s="728"/>
      <c r="W242" s="675"/>
      <c r="X242" s="770"/>
      <c r="Y242" s="675"/>
      <c r="Z242" s="675"/>
    </row>
    <row r="243" hidden="1" outlineLevel="1">
      <c r="A243" s="675"/>
      <c r="B243" s="751"/>
      <c r="C243" s="710"/>
      <c r="D243" s="710"/>
      <c r="E243" s="710"/>
      <c r="F243" s="752" t="s">
        <v>528</v>
      </c>
      <c r="G243" s="753"/>
      <c r="H243" s="754"/>
      <c r="I243" s="754"/>
      <c r="J243" s="754"/>
      <c r="K243" s="754"/>
      <c r="L243" s="753"/>
      <c r="M243" s="753"/>
      <c r="N243" s="753"/>
      <c r="O243" s="753"/>
      <c r="P243" s="753"/>
      <c r="Q243" s="755"/>
      <c r="R243" s="675"/>
      <c r="S243" s="216" t="str">
        <f t="array" ref="S243">IFERROR(INDEX('💻シート作成'!$D$6:$D1001, MATCH(T243, '💻シート作成'!$E$6:$E1001, 0)), "")</f>
        <v/>
      </c>
      <c r="T243" s="172"/>
      <c r="U243" s="678"/>
      <c r="V243" s="728"/>
      <c r="W243" s="675"/>
      <c r="X243" s="770"/>
      <c r="Y243" s="675"/>
      <c r="Z243" s="675"/>
    </row>
    <row r="244" hidden="1" outlineLevel="1">
      <c r="A244" s="675"/>
      <c r="B244" s="756"/>
      <c r="C244" s="757">
        <f>IF(C233="","",IF(DAY(C233+1)=1,"",C233+1))</f>
        <v>46075</v>
      </c>
      <c r="D244" s="758" t="str">
        <f>TEXT(C244,"ddd")</f>
        <v>日</v>
      </c>
      <c r="E244" s="759"/>
      <c r="F244" s="787" t="s">
        <v>527</v>
      </c>
      <c r="G244" s="788"/>
      <c r="H244" s="789"/>
      <c r="I244" s="790">
        <v>0.0</v>
      </c>
      <c r="J244" s="758"/>
      <c r="K244" s="758"/>
      <c r="L244" s="768"/>
      <c r="M244" s="768"/>
      <c r="N244" s="787"/>
      <c r="O244" s="791"/>
      <c r="P244" s="784"/>
      <c r="Q244" s="785"/>
      <c r="R244" s="675"/>
      <c r="S244" s="216" t="str">
        <f t="array" ref="S244">IFERROR(INDEX('💻シート作成'!$D$6:$D1001, MATCH(T244, '💻シート作成'!$E$6:$E1001, 0)), "")</f>
        <v/>
      </c>
      <c r="T244" s="172"/>
      <c r="U244" s="678"/>
      <c r="V244" s="728"/>
      <c r="W244" s="675"/>
      <c r="X244" s="770"/>
      <c r="Y244" s="675"/>
      <c r="Z244" s="675"/>
    </row>
    <row r="245" hidden="1" outlineLevel="1">
      <c r="A245" s="675"/>
      <c r="B245" s="742"/>
      <c r="C245" s="743"/>
      <c r="D245" s="743"/>
      <c r="E245" s="743"/>
      <c r="F245" s="743"/>
      <c r="G245" s="744"/>
      <c r="H245" s="743"/>
      <c r="I245" s="743"/>
      <c r="J245" s="743"/>
      <c r="K245" s="743"/>
      <c r="L245" s="768"/>
      <c r="M245" s="768"/>
      <c r="N245" s="743"/>
      <c r="O245" s="746"/>
      <c r="Q245" s="741"/>
      <c r="R245" s="675"/>
      <c r="S245" s="216" t="str">
        <f t="array" ref="S245">IFERROR(INDEX('💻シート作成'!$D$6:$D1001, MATCH(T245, '💻シート作成'!$E$6:$E1001, 0)), "")</f>
        <v/>
      </c>
      <c r="T245" s="172"/>
      <c r="U245" s="678"/>
      <c r="V245" s="728"/>
      <c r="W245" s="675"/>
      <c r="X245" s="770"/>
      <c r="Y245" s="675"/>
      <c r="Z245" s="675"/>
    </row>
    <row r="246" hidden="1" outlineLevel="1">
      <c r="A246" s="675"/>
      <c r="B246" s="742"/>
      <c r="C246" s="743"/>
      <c r="D246" s="743"/>
      <c r="E246" s="743"/>
      <c r="F246" s="743"/>
      <c r="G246" s="744"/>
      <c r="H246" s="743"/>
      <c r="I246" s="743"/>
      <c r="J246" s="743"/>
      <c r="K246" s="743"/>
      <c r="L246" s="768"/>
      <c r="M246" s="768"/>
      <c r="N246" s="743"/>
      <c r="O246" s="746"/>
      <c r="Q246" s="741"/>
      <c r="R246" s="675"/>
      <c r="S246" s="216" t="str">
        <f t="array" ref="S246">IFERROR(INDEX('💻シート作成'!$D$6:$D1001, MATCH(T246, '💻シート作成'!$E$6:$E1001, 0)), "")</f>
        <v/>
      </c>
      <c r="T246" s="172"/>
      <c r="U246" s="678"/>
      <c r="V246" s="728"/>
      <c r="W246" s="675"/>
      <c r="X246" s="770"/>
      <c r="Y246" s="675"/>
      <c r="Z246" s="675"/>
    </row>
    <row r="247" hidden="1" outlineLevel="1">
      <c r="A247" s="675"/>
      <c r="B247" s="742"/>
      <c r="C247" s="743"/>
      <c r="D247" s="743"/>
      <c r="E247" s="743"/>
      <c r="F247" s="743"/>
      <c r="G247" s="744"/>
      <c r="H247" s="743"/>
      <c r="I247" s="743"/>
      <c r="J247" s="743"/>
      <c r="K247" s="743"/>
      <c r="L247" s="769"/>
      <c r="M247" s="768"/>
      <c r="N247" s="743"/>
      <c r="O247" s="746"/>
      <c r="Q247" s="741"/>
      <c r="R247" s="675"/>
      <c r="S247" s="216" t="str">
        <f t="array" ref="S247">IFERROR(INDEX('💻シート作成'!$D$6:$D1001, MATCH(T247, '💻シート作成'!$E$6:$E1001, 0)), "")</f>
        <v/>
      </c>
      <c r="T247" s="172"/>
      <c r="U247" s="678"/>
      <c r="V247" s="728"/>
      <c r="W247" s="675"/>
      <c r="X247" s="770"/>
      <c r="Y247" s="675"/>
      <c r="Z247" s="675"/>
    </row>
    <row r="248" hidden="1" outlineLevel="1">
      <c r="A248" s="675"/>
      <c r="B248" s="742"/>
      <c r="C248" s="743"/>
      <c r="D248" s="743"/>
      <c r="E248" s="743"/>
      <c r="F248" s="743"/>
      <c r="G248" s="744"/>
      <c r="H248" s="743"/>
      <c r="I248" s="743"/>
      <c r="J248" s="743"/>
      <c r="K248" s="743"/>
      <c r="L248" s="769"/>
      <c r="M248" s="768"/>
      <c r="N248" s="743"/>
      <c r="O248" s="746"/>
      <c r="Q248" s="741"/>
      <c r="R248" s="675"/>
      <c r="S248" s="216" t="str">
        <f t="array" ref="S248">IFERROR(INDEX('💻シート作成'!$D$6:$D1001, MATCH(T248, '💻シート作成'!$E$6:$E1001, 0)), "")</f>
        <v/>
      </c>
      <c r="T248" s="172"/>
      <c r="U248" s="678"/>
      <c r="V248" s="728"/>
      <c r="W248" s="675"/>
      <c r="X248" s="770"/>
      <c r="Y248" s="675"/>
      <c r="Z248" s="675"/>
    </row>
    <row r="249" hidden="1" outlineLevel="1">
      <c r="A249" s="675"/>
      <c r="B249" s="742"/>
      <c r="C249" s="743"/>
      <c r="D249" s="743"/>
      <c r="E249" s="743"/>
      <c r="F249" s="743"/>
      <c r="G249" s="744"/>
      <c r="H249" s="743"/>
      <c r="I249" s="743"/>
      <c r="J249" s="743"/>
      <c r="K249" s="743"/>
      <c r="L249" s="769"/>
      <c r="M249" s="768"/>
      <c r="N249" s="743"/>
      <c r="O249" s="746"/>
      <c r="Q249" s="741"/>
      <c r="R249" s="675"/>
      <c r="S249" s="216" t="str">
        <f t="array" ref="S249">IFERROR(INDEX('💻シート作成'!$D$6:$D1001, MATCH(T249, '💻シート作成'!$E$6:$E1001, 0)), "")</f>
        <v/>
      </c>
      <c r="T249" s="172"/>
      <c r="U249" s="678"/>
      <c r="V249" s="728"/>
      <c r="W249" s="675"/>
      <c r="X249" s="770"/>
      <c r="Y249" s="675"/>
      <c r="Z249" s="675"/>
    </row>
    <row r="250" hidden="1" outlineLevel="1">
      <c r="A250" s="675"/>
      <c r="B250" s="742"/>
      <c r="C250" s="743"/>
      <c r="D250" s="743"/>
      <c r="E250" s="743"/>
      <c r="F250" s="743"/>
      <c r="G250" s="744"/>
      <c r="H250" s="743"/>
      <c r="I250" s="743"/>
      <c r="J250" s="743"/>
      <c r="K250" s="743"/>
      <c r="L250" s="769"/>
      <c r="M250" s="768"/>
      <c r="N250" s="743"/>
      <c r="O250" s="746"/>
      <c r="Q250" s="741"/>
      <c r="R250" s="675"/>
      <c r="S250" s="216" t="str">
        <f t="array" ref="S250">IFERROR(INDEX('💻シート作成'!$D$6:$D1001, MATCH(T250, '💻シート作成'!$E$6:$E1001, 0)), "")</f>
        <v/>
      </c>
      <c r="T250" s="172"/>
      <c r="U250" s="678"/>
      <c r="V250" s="728"/>
      <c r="W250" s="675"/>
      <c r="X250" s="770"/>
      <c r="Y250" s="675"/>
      <c r="Z250" s="675"/>
    </row>
    <row r="251" hidden="1" outlineLevel="1">
      <c r="A251" s="675"/>
      <c r="B251" s="742"/>
      <c r="C251" s="743"/>
      <c r="D251" s="743"/>
      <c r="E251" s="743"/>
      <c r="F251" s="743"/>
      <c r="G251" s="744"/>
      <c r="H251" s="743"/>
      <c r="I251" s="743"/>
      <c r="J251" s="743"/>
      <c r="K251" s="743"/>
      <c r="L251" s="769"/>
      <c r="M251" s="768"/>
      <c r="N251" s="743"/>
      <c r="O251" s="746"/>
      <c r="Q251" s="741"/>
      <c r="R251" s="675"/>
      <c r="S251" s="216" t="str">
        <f t="array" ref="S251">IFERROR(INDEX('💻シート作成'!$D$6:$D1001, MATCH(T251, '💻シート作成'!$E$6:$E1001, 0)), "")</f>
        <v/>
      </c>
      <c r="T251" s="172"/>
      <c r="U251" s="678"/>
      <c r="V251" s="728"/>
      <c r="W251" s="675"/>
      <c r="X251" s="770"/>
      <c r="Y251" s="675"/>
      <c r="Z251" s="675"/>
    </row>
    <row r="252" hidden="1" outlineLevel="1">
      <c r="A252" s="675"/>
      <c r="B252" s="742"/>
      <c r="C252" s="743"/>
      <c r="D252" s="743"/>
      <c r="E252" s="743"/>
      <c r="F252" s="743"/>
      <c r="G252" s="744"/>
      <c r="H252" s="743"/>
      <c r="I252" s="743"/>
      <c r="J252" s="743"/>
      <c r="K252" s="743"/>
      <c r="L252" s="769"/>
      <c r="M252" s="768"/>
      <c r="N252" s="743"/>
      <c r="O252" s="746"/>
      <c r="Q252" s="741"/>
      <c r="R252" s="675"/>
      <c r="S252" s="216" t="str">
        <f t="array" ref="S252">IFERROR(INDEX('💻シート作成'!$D$6:$D1001, MATCH(T252, '💻シート作成'!$E$6:$E1001, 0)), "")</f>
        <v/>
      </c>
      <c r="T252" s="172"/>
      <c r="U252" s="678"/>
      <c r="V252" s="728"/>
      <c r="W252" s="675"/>
      <c r="X252" s="770"/>
      <c r="Y252" s="675"/>
      <c r="Z252" s="675"/>
    </row>
    <row r="253" hidden="1" outlineLevel="1">
      <c r="A253" s="675"/>
      <c r="B253" s="742"/>
      <c r="C253" s="743"/>
      <c r="D253" s="743"/>
      <c r="E253" s="743"/>
      <c r="F253" s="710"/>
      <c r="G253" s="711"/>
      <c r="H253" s="710"/>
      <c r="I253" s="710"/>
      <c r="J253" s="710"/>
      <c r="K253" s="710"/>
      <c r="L253" s="769"/>
      <c r="M253" s="768"/>
      <c r="N253" s="710"/>
      <c r="O253" s="713"/>
      <c r="P253" s="714"/>
      <c r="Q253" s="750"/>
      <c r="R253" s="675"/>
      <c r="S253" s="216" t="str">
        <f t="array" ref="S253">IFERROR(INDEX('💻シート作成'!$D$6:$D1001, MATCH(T253, '💻シート作成'!$E$6:$E1001, 0)), "")</f>
        <v/>
      </c>
      <c r="T253" s="172"/>
      <c r="U253" s="678"/>
      <c r="V253" s="728"/>
      <c r="W253" s="675"/>
      <c r="X253" s="770"/>
      <c r="Y253" s="675"/>
      <c r="Z253" s="675"/>
    </row>
    <row r="254" hidden="1" outlineLevel="1">
      <c r="A254" s="675"/>
      <c r="B254" s="751"/>
      <c r="C254" s="710"/>
      <c r="D254" s="710"/>
      <c r="E254" s="710"/>
      <c r="F254" s="771" t="s">
        <v>528</v>
      </c>
      <c r="G254" s="772"/>
      <c r="H254" s="754"/>
      <c r="I254" s="754"/>
      <c r="J254" s="754"/>
      <c r="K254" s="754"/>
      <c r="L254" s="772"/>
      <c r="M254" s="772"/>
      <c r="N254" s="772"/>
      <c r="O254" s="772"/>
      <c r="P254" s="772"/>
      <c r="Q254" s="773"/>
      <c r="R254" s="675"/>
      <c r="S254" s="216" t="str">
        <f t="array" ref="S254">IFERROR(INDEX('💻シート作成'!$D$6:$D1001, MATCH(T254, '💻シート作成'!$E$6:$E1001, 0)), "")</f>
        <v/>
      </c>
      <c r="T254" s="172"/>
      <c r="U254" s="678"/>
      <c r="V254" s="728"/>
      <c r="W254" s="675"/>
      <c r="X254" s="770"/>
      <c r="Y254" s="675"/>
      <c r="Z254" s="675"/>
    </row>
    <row r="255" hidden="1" outlineLevel="1">
      <c r="A255" s="675"/>
      <c r="B255" s="774"/>
      <c r="C255" s="775">
        <f>IF(C244="","",IF(DAY(C244+1)=1,"",C244+1))</f>
        <v>46076</v>
      </c>
      <c r="D255" s="776" t="str">
        <f>TEXT(C255,"ddd")</f>
        <v>月</v>
      </c>
      <c r="E255" s="777"/>
      <c r="F255" s="778" t="s">
        <v>527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28"/>
      <c r="W255" s="675"/>
      <c r="X255" s="770"/>
      <c r="Y255" s="675"/>
      <c r="Z255" s="675"/>
    </row>
    <row r="256" hidden="1" outlineLevel="1">
      <c r="A256" s="675"/>
      <c r="B256" s="742"/>
      <c r="C256" s="743"/>
      <c r="D256" s="743"/>
      <c r="E256" s="743"/>
      <c r="F256" s="743"/>
      <c r="G256" s="744"/>
      <c r="H256" s="743"/>
      <c r="I256" s="743"/>
      <c r="J256" s="743"/>
      <c r="K256" s="743"/>
      <c r="L256" s="782"/>
      <c r="M256" s="782"/>
      <c r="N256" s="743"/>
      <c r="O256" s="746"/>
      <c r="Q256" s="741"/>
      <c r="R256" s="675"/>
      <c r="S256" s="216" t="str">
        <f t="array" ref="S256">IFERROR(INDEX('💻シート作成'!$D$6:$D1001, MATCH(T256, '💻シート作成'!$E$6:$E1001, 0)), "")</f>
        <v/>
      </c>
      <c r="T256" s="172"/>
      <c r="U256" s="678"/>
      <c r="V256" s="728"/>
      <c r="W256" s="675"/>
      <c r="X256" s="770"/>
      <c r="Y256" s="675"/>
      <c r="Z256" s="675"/>
    </row>
    <row r="257" hidden="1" outlineLevel="1">
      <c r="A257" s="675"/>
      <c r="B257" s="742"/>
      <c r="C257" s="743"/>
      <c r="D257" s="743"/>
      <c r="E257" s="743"/>
      <c r="F257" s="743"/>
      <c r="G257" s="744"/>
      <c r="H257" s="743"/>
      <c r="I257" s="743"/>
      <c r="J257" s="743"/>
      <c r="K257" s="743"/>
      <c r="L257" s="782"/>
      <c r="M257" s="782"/>
      <c r="N257" s="743"/>
      <c r="O257" s="746"/>
      <c r="Q257" s="741"/>
      <c r="R257" s="675"/>
      <c r="S257" s="216" t="str">
        <f t="array" ref="S257">IFERROR(INDEX('💻シート作成'!$D$6:$D1001, MATCH(T257, '💻シート作成'!$E$6:$E1001, 0)), "")</f>
        <v/>
      </c>
      <c r="T257" s="172"/>
      <c r="U257" s="678"/>
      <c r="V257" s="728"/>
      <c r="W257" s="675"/>
      <c r="X257" s="770"/>
      <c r="Y257" s="675"/>
      <c r="Z257" s="675"/>
    </row>
    <row r="258" hidden="1" outlineLevel="1">
      <c r="A258" s="675"/>
      <c r="B258" s="742"/>
      <c r="C258" s="743"/>
      <c r="D258" s="743"/>
      <c r="E258" s="743"/>
      <c r="F258" s="743"/>
      <c r="G258" s="744"/>
      <c r="H258" s="743"/>
      <c r="I258" s="743"/>
      <c r="J258" s="743"/>
      <c r="K258" s="743"/>
      <c r="L258" s="786"/>
      <c r="M258" s="782"/>
      <c r="N258" s="743"/>
      <c r="O258" s="746"/>
      <c r="Q258" s="741"/>
      <c r="R258" s="675"/>
      <c r="S258" s="216" t="str">
        <f t="array" ref="S258">IFERROR(INDEX('💻シート作成'!$D$6:$D1001, MATCH(T258, '💻シート作成'!$E$6:$E1001, 0)), "")</f>
        <v/>
      </c>
      <c r="T258" s="172"/>
      <c r="U258" s="678"/>
      <c r="V258" s="728"/>
      <c r="W258" s="675"/>
      <c r="X258" s="770"/>
      <c r="Y258" s="675"/>
      <c r="Z258" s="675"/>
    </row>
    <row r="259" hidden="1" outlineLevel="1">
      <c r="A259" s="675"/>
      <c r="B259" s="742"/>
      <c r="C259" s="743"/>
      <c r="D259" s="743"/>
      <c r="E259" s="743"/>
      <c r="F259" s="743"/>
      <c r="G259" s="744"/>
      <c r="H259" s="743"/>
      <c r="I259" s="743"/>
      <c r="J259" s="743"/>
      <c r="K259" s="743"/>
      <c r="L259" s="786"/>
      <c r="M259" s="782"/>
      <c r="N259" s="743"/>
      <c r="O259" s="746"/>
      <c r="Q259" s="741"/>
      <c r="R259" s="675"/>
      <c r="S259" s="216" t="str">
        <f t="array" ref="S259">IFERROR(INDEX('💻シート作成'!$D$6:$D1001, MATCH(T259, '💻シート作成'!$E$6:$E1001, 0)), "")</f>
        <v/>
      </c>
      <c r="T259" s="172"/>
      <c r="U259" s="678"/>
      <c r="V259" s="728"/>
      <c r="W259" s="675"/>
      <c r="X259" s="770"/>
      <c r="Y259" s="675"/>
      <c r="Z259" s="675"/>
    </row>
    <row r="260" hidden="1" outlineLevel="1">
      <c r="A260" s="675"/>
      <c r="B260" s="742"/>
      <c r="C260" s="743"/>
      <c r="D260" s="743"/>
      <c r="E260" s="743"/>
      <c r="F260" s="743"/>
      <c r="G260" s="744"/>
      <c r="H260" s="743"/>
      <c r="I260" s="743"/>
      <c r="J260" s="743"/>
      <c r="K260" s="743"/>
      <c r="L260" s="786"/>
      <c r="M260" s="782"/>
      <c r="N260" s="743"/>
      <c r="O260" s="746"/>
      <c r="Q260" s="741"/>
      <c r="R260" s="675"/>
      <c r="S260" s="216" t="str">
        <f t="array" ref="S260">IFERROR(INDEX('💻シート作成'!$D$6:$D1001, MATCH(T260, '💻シート作成'!$E$6:$E1001, 0)), "")</f>
        <v/>
      </c>
      <c r="T260" s="172"/>
      <c r="U260" s="678"/>
      <c r="V260" s="728"/>
      <c r="W260" s="675"/>
      <c r="X260" s="770"/>
      <c r="Y260" s="675"/>
      <c r="Z260" s="675"/>
    </row>
    <row r="261" hidden="1" outlineLevel="1">
      <c r="A261" s="675"/>
      <c r="B261" s="742"/>
      <c r="C261" s="743"/>
      <c r="D261" s="743"/>
      <c r="E261" s="743"/>
      <c r="F261" s="743"/>
      <c r="G261" s="744"/>
      <c r="H261" s="743"/>
      <c r="I261" s="743"/>
      <c r="J261" s="743"/>
      <c r="K261" s="743"/>
      <c r="L261" s="786"/>
      <c r="M261" s="782"/>
      <c r="N261" s="743"/>
      <c r="O261" s="746"/>
      <c r="Q261" s="741"/>
      <c r="R261" s="675"/>
      <c r="S261" s="216" t="str">
        <f t="array" ref="S261">IFERROR(INDEX('💻シート作成'!$D$6:$D1001, MATCH(T261, '💻シート作成'!$E$6:$E1001, 0)), "")</f>
        <v/>
      </c>
      <c r="T261" s="172"/>
      <c r="U261" s="678"/>
      <c r="V261" s="728"/>
      <c r="W261" s="675"/>
      <c r="X261" s="770"/>
      <c r="Y261" s="675"/>
      <c r="Z261" s="675"/>
    </row>
    <row r="262" hidden="1" outlineLevel="1">
      <c r="A262" s="675"/>
      <c r="B262" s="742"/>
      <c r="C262" s="743"/>
      <c r="D262" s="743"/>
      <c r="E262" s="743"/>
      <c r="F262" s="743"/>
      <c r="G262" s="744"/>
      <c r="H262" s="743"/>
      <c r="I262" s="743"/>
      <c r="J262" s="743"/>
      <c r="K262" s="743"/>
      <c r="L262" s="786"/>
      <c r="M262" s="782"/>
      <c r="N262" s="743"/>
      <c r="O262" s="746"/>
      <c r="Q262" s="741"/>
      <c r="R262" s="675"/>
      <c r="S262" s="216" t="str">
        <f t="array" ref="S262">IFERROR(INDEX('💻シート作成'!$D$6:$D1001, MATCH(T262, '💻シート作成'!$E$6:$E1001, 0)), "")</f>
        <v/>
      </c>
      <c r="T262" s="172"/>
      <c r="U262" s="678"/>
      <c r="V262" s="728"/>
      <c r="W262" s="675"/>
      <c r="X262" s="770"/>
      <c r="Y262" s="675"/>
      <c r="Z262" s="675"/>
    </row>
    <row r="263" hidden="1" outlineLevel="1">
      <c r="A263" s="675"/>
      <c r="B263" s="742"/>
      <c r="C263" s="743"/>
      <c r="D263" s="743"/>
      <c r="E263" s="743"/>
      <c r="F263" s="743"/>
      <c r="G263" s="744"/>
      <c r="H263" s="743"/>
      <c r="I263" s="743"/>
      <c r="J263" s="743"/>
      <c r="K263" s="743"/>
      <c r="L263" s="786"/>
      <c r="M263" s="782"/>
      <c r="N263" s="743"/>
      <c r="O263" s="746"/>
      <c r="Q263" s="741"/>
      <c r="R263" s="675"/>
      <c r="S263" s="216" t="str">
        <f t="array" ref="S263">IFERROR(INDEX('💻シート作成'!$D$6:$D1001, MATCH(T263, '💻シート作成'!$E$6:$E1001, 0)), "")</f>
        <v/>
      </c>
      <c r="T263" s="172"/>
      <c r="U263" s="678"/>
      <c r="V263" s="728"/>
      <c r="W263" s="675"/>
      <c r="X263" s="770"/>
      <c r="Y263" s="675"/>
      <c r="Z263" s="675"/>
    </row>
    <row r="264" hidden="1" outlineLevel="1">
      <c r="A264" s="675"/>
      <c r="B264" s="742"/>
      <c r="C264" s="743"/>
      <c r="D264" s="743"/>
      <c r="E264" s="743"/>
      <c r="F264" s="710"/>
      <c r="G264" s="711"/>
      <c r="H264" s="710"/>
      <c r="I264" s="710"/>
      <c r="J264" s="710"/>
      <c r="K264" s="710"/>
      <c r="L264" s="786"/>
      <c r="M264" s="782"/>
      <c r="N264" s="710"/>
      <c r="O264" s="713"/>
      <c r="P264" s="714"/>
      <c r="Q264" s="750"/>
      <c r="R264" s="675"/>
      <c r="S264" s="216" t="str">
        <f t="array" ref="S264">IFERROR(INDEX('💻シート作成'!$D$6:$D1001, MATCH(T264, '💻シート作成'!$E$6:$E1001, 0)), "")</f>
        <v/>
      </c>
      <c r="T264" s="172"/>
      <c r="U264" s="678"/>
      <c r="V264" s="728"/>
      <c r="W264" s="675"/>
      <c r="X264" s="770"/>
      <c r="Y264" s="675"/>
      <c r="Z264" s="675"/>
    </row>
    <row r="265" hidden="1" outlineLevel="1">
      <c r="A265" s="675"/>
      <c r="B265" s="751"/>
      <c r="C265" s="710"/>
      <c r="D265" s="710"/>
      <c r="E265" s="710"/>
      <c r="F265" s="752" t="s">
        <v>528</v>
      </c>
      <c r="G265" s="753"/>
      <c r="H265" s="754"/>
      <c r="I265" s="754"/>
      <c r="J265" s="754"/>
      <c r="K265" s="754"/>
      <c r="L265" s="753"/>
      <c r="M265" s="753"/>
      <c r="N265" s="753"/>
      <c r="O265" s="753"/>
      <c r="P265" s="753"/>
      <c r="Q265" s="755"/>
      <c r="R265" s="675"/>
      <c r="S265" s="216" t="str">
        <f t="array" ref="S265">IFERROR(INDEX('💻シート作成'!$D$6:$D1001, MATCH(T265, '💻シート作成'!$E$6:$E1001, 0)), "")</f>
        <v/>
      </c>
      <c r="T265" s="172"/>
      <c r="U265" s="678"/>
      <c r="V265" s="728"/>
      <c r="W265" s="675"/>
      <c r="X265" s="770"/>
      <c r="Y265" s="675"/>
      <c r="Z265" s="675"/>
    </row>
    <row r="266" hidden="1" outlineLevel="1">
      <c r="A266" s="675"/>
      <c r="B266" s="756"/>
      <c r="C266" s="757">
        <f>IF(C255="","",IF(DAY(C255+1)=1,"",C255+1))</f>
        <v>46077</v>
      </c>
      <c r="D266" s="758" t="str">
        <f>TEXT(C266,"ddd")</f>
        <v>火</v>
      </c>
      <c r="E266" s="759"/>
      <c r="F266" s="787" t="s">
        <v>527</v>
      </c>
      <c r="G266" s="788"/>
      <c r="H266" s="789"/>
      <c r="I266" s="790">
        <v>0.0</v>
      </c>
      <c r="J266" s="758"/>
      <c r="K266" s="758"/>
      <c r="L266" s="768"/>
      <c r="M266" s="768"/>
      <c r="N266" s="787"/>
      <c r="O266" s="791"/>
      <c r="P266" s="784"/>
      <c r="Q266" s="785"/>
      <c r="R266" s="675"/>
      <c r="S266" s="216" t="str">
        <f t="array" ref="S266">IFERROR(INDEX('💻シート作成'!$D$6:$D1001, MATCH(T266, '💻シート作成'!$E$6:$E1001, 0)), "")</f>
        <v/>
      </c>
      <c r="T266" s="172"/>
      <c r="U266" s="678"/>
      <c r="V266" s="728"/>
      <c r="W266" s="675"/>
      <c r="X266" s="770"/>
      <c r="Y266" s="675"/>
      <c r="Z266" s="675"/>
    </row>
    <row r="267" hidden="1" outlineLevel="1">
      <c r="A267" s="675"/>
      <c r="B267" s="742"/>
      <c r="C267" s="743"/>
      <c r="D267" s="743"/>
      <c r="E267" s="743"/>
      <c r="F267" s="743"/>
      <c r="G267" s="744"/>
      <c r="H267" s="743"/>
      <c r="I267" s="743"/>
      <c r="J267" s="743"/>
      <c r="K267" s="743"/>
      <c r="L267" s="768"/>
      <c r="M267" s="768"/>
      <c r="N267" s="743"/>
      <c r="O267" s="746"/>
      <c r="Q267" s="741"/>
      <c r="R267" s="675"/>
      <c r="S267" s="216" t="str">
        <f t="array" ref="S267">IFERROR(INDEX('💻シート作成'!$D$6:$D1001, MATCH(T267, '💻シート作成'!$E$6:$E1001, 0)), "")</f>
        <v/>
      </c>
      <c r="T267" s="172"/>
      <c r="U267" s="678"/>
      <c r="V267" s="728"/>
      <c r="W267" s="675"/>
      <c r="X267" s="770"/>
      <c r="Y267" s="675"/>
      <c r="Z267" s="675"/>
    </row>
    <row r="268" hidden="1" outlineLevel="1">
      <c r="A268" s="675"/>
      <c r="B268" s="742"/>
      <c r="C268" s="743"/>
      <c r="D268" s="743"/>
      <c r="E268" s="743"/>
      <c r="F268" s="743"/>
      <c r="G268" s="744"/>
      <c r="H268" s="743"/>
      <c r="I268" s="743"/>
      <c r="J268" s="743"/>
      <c r="K268" s="743"/>
      <c r="L268" s="768"/>
      <c r="M268" s="768"/>
      <c r="N268" s="743"/>
      <c r="O268" s="746"/>
      <c r="Q268" s="741"/>
      <c r="R268" s="675"/>
      <c r="S268" s="216" t="str">
        <f t="array" ref="S268">IFERROR(INDEX('💻シート作成'!$D$6:$D1001, MATCH(T268, '💻シート作成'!$E$6:$E1001, 0)), "")</f>
        <v/>
      </c>
      <c r="T268" s="172"/>
      <c r="U268" s="678"/>
      <c r="V268" s="728"/>
      <c r="W268" s="675"/>
      <c r="X268" s="770"/>
      <c r="Y268" s="675"/>
      <c r="Z268" s="675"/>
    </row>
    <row r="269" hidden="1" outlineLevel="1">
      <c r="A269" s="675"/>
      <c r="B269" s="742"/>
      <c r="C269" s="743"/>
      <c r="D269" s="743"/>
      <c r="E269" s="743"/>
      <c r="F269" s="743"/>
      <c r="G269" s="744"/>
      <c r="H269" s="743"/>
      <c r="I269" s="743"/>
      <c r="J269" s="743"/>
      <c r="K269" s="743"/>
      <c r="L269" s="769"/>
      <c r="M269" s="768"/>
      <c r="N269" s="743"/>
      <c r="O269" s="746"/>
      <c r="Q269" s="741"/>
      <c r="R269" s="675"/>
      <c r="S269" s="216" t="str">
        <f t="array" ref="S269">IFERROR(INDEX('💻シート作成'!$D$6:$D1001, MATCH(T269, '💻シート作成'!$E$6:$E1001, 0)), "")</f>
        <v/>
      </c>
      <c r="T269" s="172"/>
      <c r="U269" s="678"/>
      <c r="V269" s="728"/>
      <c r="W269" s="675"/>
      <c r="X269" s="770"/>
      <c r="Y269" s="675"/>
      <c r="Z269" s="675"/>
    </row>
    <row r="270" hidden="1" outlineLevel="1">
      <c r="A270" s="675"/>
      <c r="B270" s="742"/>
      <c r="C270" s="743"/>
      <c r="D270" s="743"/>
      <c r="E270" s="743"/>
      <c r="F270" s="743"/>
      <c r="G270" s="744"/>
      <c r="H270" s="743"/>
      <c r="I270" s="743"/>
      <c r="J270" s="743"/>
      <c r="K270" s="743"/>
      <c r="L270" s="769"/>
      <c r="M270" s="768"/>
      <c r="N270" s="743"/>
      <c r="O270" s="746"/>
      <c r="Q270" s="741"/>
      <c r="R270" s="675"/>
      <c r="S270" s="216" t="str">
        <f t="array" ref="S270">IFERROR(INDEX('💻シート作成'!$D$6:$D1001, MATCH(T270, '💻シート作成'!$E$6:$E1001, 0)), "")</f>
        <v/>
      </c>
      <c r="T270" s="172"/>
      <c r="U270" s="678"/>
      <c r="V270" s="728"/>
      <c r="W270" s="675"/>
      <c r="X270" s="770"/>
      <c r="Y270" s="675"/>
      <c r="Z270" s="675"/>
    </row>
    <row r="271" hidden="1" outlineLevel="1">
      <c r="A271" s="675"/>
      <c r="B271" s="742"/>
      <c r="C271" s="743"/>
      <c r="D271" s="743"/>
      <c r="E271" s="743"/>
      <c r="F271" s="743"/>
      <c r="G271" s="744"/>
      <c r="H271" s="743"/>
      <c r="I271" s="743"/>
      <c r="J271" s="743"/>
      <c r="K271" s="743"/>
      <c r="L271" s="769"/>
      <c r="M271" s="768"/>
      <c r="N271" s="743"/>
      <c r="O271" s="746"/>
      <c r="Q271" s="741"/>
      <c r="R271" s="675"/>
      <c r="S271" s="216" t="str">
        <f t="array" ref="S271">IFERROR(INDEX('💻シート作成'!$D$6:$D1001, MATCH(T271, '💻シート作成'!$E$6:$E1001, 0)), "")</f>
        <v/>
      </c>
      <c r="T271" s="172"/>
      <c r="U271" s="678"/>
      <c r="V271" s="728"/>
      <c r="W271" s="675"/>
      <c r="X271" s="770"/>
      <c r="Y271" s="675"/>
      <c r="Z271" s="675"/>
    </row>
    <row r="272" hidden="1" outlineLevel="1">
      <c r="A272" s="675"/>
      <c r="B272" s="742"/>
      <c r="C272" s="743"/>
      <c r="D272" s="743"/>
      <c r="E272" s="743"/>
      <c r="F272" s="743"/>
      <c r="G272" s="744"/>
      <c r="H272" s="743"/>
      <c r="I272" s="743"/>
      <c r="J272" s="743"/>
      <c r="K272" s="743"/>
      <c r="L272" s="769"/>
      <c r="M272" s="768"/>
      <c r="N272" s="743"/>
      <c r="O272" s="746"/>
      <c r="Q272" s="741"/>
      <c r="R272" s="675"/>
      <c r="S272" s="216" t="str">
        <f t="array" ref="S272">IFERROR(INDEX('💻シート作成'!$D$6:$D1001, MATCH(T272, '💻シート作成'!$E$6:$E1001, 0)), "")</f>
        <v/>
      </c>
      <c r="T272" s="172"/>
      <c r="U272" s="678"/>
      <c r="V272" s="728"/>
      <c r="W272" s="675"/>
      <c r="X272" s="770"/>
      <c r="Y272" s="675"/>
      <c r="Z272" s="675"/>
    </row>
    <row r="273" hidden="1" outlineLevel="1">
      <c r="A273" s="675"/>
      <c r="B273" s="742"/>
      <c r="C273" s="743"/>
      <c r="D273" s="743"/>
      <c r="E273" s="743"/>
      <c r="F273" s="743"/>
      <c r="G273" s="744"/>
      <c r="H273" s="743"/>
      <c r="I273" s="743"/>
      <c r="J273" s="743"/>
      <c r="K273" s="743"/>
      <c r="L273" s="769"/>
      <c r="M273" s="768"/>
      <c r="N273" s="743"/>
      <c r="O273" s="746"/>
      <c r="Q273" s="741"/>
      <c r="R273" s="675"/>
      <c r="S273" s="216" t="str">
        <f t="array" ref="S273">IFERROR(INDEX('💻シート作成'!$D$6:$D1001, MATCH(T273, '💻シート作成'!$E$6:$E1001, 0)), "")</f>
        <v/>
      </c>
      <c r="T273" s="172"/>
      <c r="U273" s="678"/>
      <c r="V273" s="728"/>
      <c r="W273" s="675"/>
      <c r="X273" s="770"/>
      <c r="Y273" s="675"/>
      <c r="Z273" s="675"/>
    </row>
    <row r="274" hidden="1" outlineLevel="1">
      <c r="A274" s="675"/>
      <c r="B274" s="742"/>
      <c r="C274" s="743"/>
      <c r="D274" s="743"/>
      <c r="E274" s="743"/>
      <c r="F274" s="743"/>
      <c r="G274" s="744"/>
      <c r="H274" s="743"/>
      <c r="I274" s="743"/>
      <c r="J274" s="743"/>
      <c r="K274" s="743"/>
      <c r="L274" s="769"/>
      <c r="M274" s="768"/>
      <c r="N274" s="743"/>
      <c r="O274" s="746"/>
      <c r="Q274" s="741"/>
      <c r="R274" s="675"/>
      <c r="S274" s="216" t="str">
        <f t="array" ref="S274">IFERROR(INDEX('💻シート作成'!$D$6:$D1001, MATCH(T274, '💻シート作成'!$E$6:$E1001, 0)), "")</f>
        <v/>
      </c>
      <c r="T274" s="172"/>
      <c r="U274" s="678"/>
      <c r="V274" s="728"/>
      <c r="W274" s="675"/>
      <c r="X274" s="770"/>
      <c r="Y274" s="675"/>
      <c r="Z274" s="675"/>
    </row>
    <row r="275" hidden="1" outlineLevel="1">
      <c r="A275" s="675"/>
      <c r="B275" s="742"/>
      <c r="C275" s="743"/>
      <c r="D275" s="743"/>
      <c r="E275" s="743"/>
      <c r="F275" s="710"/>
      <c r="G275" s="711"/>
      <c r="H275" s="710"/>
      <c r="I275" s="710"/>
      <c r="J275" s="710"/>
      <c r="K275" s="710"/>
      <c r="L275" s="769"/>
      <c r="M275" s="768"/>
      <c r="N275" s="710"/>
      <c r="O275" s="713"/>
      <c r="P275" s="714"/>
      <c r="Q275" s="750"/>
      <c r="R275" s="675"/>
      <c r="S275" s="216" t="str">
        <f t="array" ref="S275">IFERROR(INDEX('💻シート作成'!$D$6:$D1001, MATCH(T275, '💻シート作成'!$E$6:$E1001, 0)), "")</f>
        <v/>
      </c>
      <c r="T275" s="172"/>
      <c r="U275" s="678"/>
      <c r="V275" s="728"/>
      <c r="W275" s="675"/>
      <c r="X275" s="770"/>
      <c r="Y275" s="675"/>
      <c r="Z275" s="675"/>
    </row>
    <row r="276" hidden="1" outlineLevel="1">
      <c r="A276" s="675"/>
      <c r="B276" s="751"/>
      <c r="C276" s="710"/>
      <c r="D276" s="710"/>
      <c r="E276" s="710"/>
      <c r="F276" s="771" t="s">
        <v>528</v>
      </c>
      <c r="G276" s="772"/>
      <c r="H276" s="754"/>
      <c r="I276" s="754"/>
      <c r="J276" s="754"/>
      <c r="K276" s="754"/>
      <c r="L276" s="772"/>
      <c r="M276" s="772"/>
      <c r="N276" s="772"/>
      <c r="O276" s="772"/>
      <c r="P276" s="772"/>
      <c r="Q276" s="773"/>
      <c r="R276" s="675"/>
      <c r="S276" s="216" t="str">
        <f t="array" ref="S276">IFERROR(INDEX('💻シート作成'!$D$6:$D1001, MATCH(T276, '💻シート作成'!$E$6:$E1001, 0)), "")</f>
        <v/>
      </c>
      <c r="T276" s="172"/>
      <c r="U276" s="678"/>
      <c r="V276" s="728"/>
      <c r="W276" s="675"/>
      <c r="X276" s="770"/>
      <c r="Y276" s="675"/>
      <c r="Z276" s="675"/>
    </row>
    <row r="277" hidden="1" outlineLevel="1">
      <c r="A277" s="675"/>
      <c r="B277" s="774"/>
      <c r="C277" s="775">
        <f>IF(C266="","",IF(DAY(C266+1)=1,"",C266+1))</f>
        <v>46078</v>
      </c>
      <c r="D277" s="776" t="str">
        <f>TEXT(C277,"ddd")</f>
        <v>水</v>
      </c>
      <c r="E277" s="777"/>
      <c r="F277" s="778" t="s">
        <v>527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28"/>
      <c r="W277" s="675"/>
      <c r="X277" s="770"/>
      <c r="Y277" s="675"/>
      <c r="Z277" s="675"/>
    </row>
    <row r="278" hidden="1" outlineLevel="1">
      <c r="A278" s="675"/>
      <c r="B278" s="742"/>
      <c r="C278" s="743"/>
      <c r="D278" s="743"/>
      <c r="E278" s="743"/>
      <c r="F278" s="743"/>
      <c r="G278" s="744"/>
      <c r="H278" s="743"/>
      <c r="I278" s="743"/>
      <c r="J278" s="743"/>
      <c r="K278" s="743"/>
      <c r="L278" s="782"/>
      <c r="M278" s="782"/>
      <c r="N278" s="743"/>
      <c r="O278" s="746"/>
      <c r="Q278" s="741"/>
      <c r="R278" s="675"/>
      <c r="S278" s="216" t="str">
        <f t="array" ref="S278">IFERROR(INDEX('💻シート作成'!$D$6:$D1001, MATCH(T278, '💻シート作成'!$E$6:$E1001, 0)), "")</f>
        <v/>
      </c>
      <c r="T278" s="172"/>
      <c r="U278" s="678"/>
      <c r="V278" s="728"/>
      <c r="W278" s="675"/>
      <c r="X278" s="770"/>
      <c r="Y278" s="675"/>
      <c r="Z278" s="675"/>
    </row>
    <row r="279" hidden="1" outlineLevel="1">
      <c r="A279" s="675"/>
      <c r="B279" s="742"/>
      <c r="C279" s="743"/>
      <c r="D279" s="743"/>
      <c r="E279" s="743"/>
      <c r="F279" s="743"/>
      <c r="G279" s="744"/>
      <c r="H279" s="743"/>
      <c r="I279" s="743"/>
      <c r="J279" s="743"/>
      <c r="K279" s="743"/>
      <c r="L279" s="782"/>
      <c r="M279" s="782"/>
      <c r="N279" s="743"/>
      <c r="O279" s="746"/>
      <c r="Q279" s="741"/>
      <c r="R279" s="675"/>
      <c r="S279" s="216" t="str">
        <f t="array" ref="S279">IFERROR(INDEX('💻シート作成'!$D$6:$D1001, MATCH(T279, '💻シート作成'!$E$6:$E1001, 0)), "")</f>
        <v/>
      </c>
      <c r="T279" s="172"/>
      <c r="U279" s="678"/>
      <c r="V279" s="728"/>
      <c r="W279" s="675"/>
      <c r="X279" s="770"/>
      <c r="Y279" s="675"/>
      <c r="Z279" s="675"/>
    </row>
    <row r="280" hidden="1" outlineLevel="1">
      <c r="A280" s="675"/>
      <c r="B280" s="742"/>
      <c r="C280" s="743"/>
      <c r="D280" s="743"/>
      <c r="E280" s="743"/>
      <c r="F280" s="743"/>
      <c r="G280" s="744"/>
      <c r="H280" s="743"/>
      <c r="I280" s="743"/>
      <c r="J280" s="743"/>
      <c r="K280" s="743"/>
      <c r="L280" s="786"/>
      <c r="M280" s="782"/>
      <c r="N280" s="743"/>
      <c r="O280" s="746"/>
      <c r="Q280" s="741"/>
      <c r="R280" s="675"/>
      <c r="S280" s="216" t="str">
        <f t="array" ref="S280">IFERROR(INDEX('💻シート作成'!$D$6:$D1001, MATCH(T280, '💻シート作成'!$E$6:$E1001, 0)), "")</f>
        <v/>
      </c>
      <c r="T280" s="172"/>
      <c r="U280" s="678"/>
      <c r="V280" s="728"/>
      <c r="W280" s="675"/>
      <c r="X280" s="770"/>
      <c r="Y280" s="675"/>
      <c r="Z280" s="675"/>
    </row>
    <row r="281" hidden="1" outlineLevel="1">
      <c r="A281" s="675"/>
      <c r="B281" s="742"/>
      <c r="C281" s="743"/>
      <c r="D281" s="743"/>
      <c r="E281" s="743"/>
      <c r="F281" s="743"/>
      <c r="G281" s="744"/>
      <c r="H281" s="743"/>
      <c r="I281" s="743"/>
      <c r="J281" s="743"/>
      <c r="K281" s="743"/>
      <c r="L281" s="786"/>
      <c r="M281" s="782"/>
      <c r="N281" s="743"/>
      <c r="O281" s="746"/>
      <c r="Q281" s="741"/>
      <c r="R281" s="675"/>
      <c r="S281" s="216" t="str">
        <f t="array" ref="S281">IFERROR(INDEX('💻シート作成'!$D$6:$D1001, MATCH(T281, '💻シート作成'!$E$6:$E1001, 0)), "")</f>
        <v/>
      </c>
      <c r="T281" s="172"/>
      <c r="U281" s="678"/>
      <c r="V281" s="728"/>
      <c r="W281" s="675"/>
      <c r="X281" s="770"/>
      <c r="Y281" s="675"/>
      <c r="Z281" s="675"/>
    </row>
    <row r="282" hidden="1" outlineLevel="1">
      <c r="A282" s="675"/>
      <c r="B282" s="742"/>
      <c r="C282" s="743"/>
      <c r="D282" s="743"/>
      <c r="E282" s="743"/>
      <c r="F282" s="743"/>
      <c r="G282" s="744"/>
      <c r="H282" s="743"/>
      <c r="I282" s="743"/>
      <c r="J282" s="743"/>
      <c r="K282" s="743"/>
      <c r="L282" s="786"/>
      <c r="M282" s="782"/>
      <c r="N282" s="743"/>
      <c r="O282" s="746"/>
      <c r="Q282" s="741"/>
      <c r="R282" s="675"/>
      <c r="S282" s="216" t="str">
        <f t="array" ref="S282">IFERROR(INDEX('💻シート作成'!$D$6:$D1001, MATCH(T282, '💻シート作成'!$E$6:$E1001, 0)), "")</f>
        <v/>
      </c>
      <c r="T282" s="172"/>
      <c r="U282" s="678"/>
      <c r="V282" s="728"/>
      <c r="W282" s="675"/>
      <c r="X282" s="770"/>
      <c r="Y282" s="675"/>
      <c r="Z282" s="675"/>
    </row>
    <row r="283" hidden="1" outlineLevel="1">
      <c r="A283" s="675"/>
      <c r="B283" s="742"/>
      <c r="C283" s="743"/>
      <c r="D283" s="743"/>
      <c r="E283" s="743"/>
      <c r="F283" s="743"/>
      <c r="G283" s="744"/>
      <c r="H283" s="743"/>
      <c r="I283" s="743"/>
      <c r="J283" s="743"/>
      <c r="K283" s="743"/>
      <c r="L283" s="786"/>
      <c r="M283" s="782"/>
      <c r="N283" s="743"/>
      <c r="O283" s="746"/>
      <c r="Q283" s="741"/>
      <c r="R283" s="675"/>
      <c r="S283" s="216" t="str">
        <f t="array" ref="S283">IFERROR(INDEX('💻シート作成'!$D$6:$D1001, MATCH(T283, '💻シート作成'!$E$6:$E1001, 0)), "")</f>
        <v/>
      </c>
      <c r="T283" s="172"/>
      <c r="U283" s="678"/>
      <c r="V283" s="728"/>
      <c r="W283" s="675"/>
      <c r="X283" s="770"/>
      <c r="Y283" s="675"/>
      <c r="Z283" s="675"/>
    </row>
    <row r="284" hidden="1" outlineLevel="1">
      <c r="A284" s="675"/>
      <c r="B284" s="742"/>
      <c r="C284" s="743"/>
      <c r="D284" s="743"/>
      <c r="E284" s="743"/>
      <c r="F284" s="743"/>
      <c r="G284" s="744"/>
      <c r="H284" s="743"/>
      <c r="I284" s="743"/>
      <c r="J284" s="743"/>
      <c r="K284" s="743"/>
      <c r="L284" s="786"/>
      <c r="M284" s="782"/>
      <c r="N284" s="743"/>
      <c r="O284" s="746"/>
      <c r="Q284" s="741"/>
      <c r="R284" s="675"/>
      <c r="S284" s="216" t="str">
        <f t="array" ref="S284">IFERROR(INDEX('💻シート作成'!$D$6:$D1001, MATCH(T284, '💻シート作成'!$E$6:$E1001, 0)), "")</f>
        <v/>
      </c>
      <c r="T284" s="172"/>
      <c r="U284" s="678"/>
      <c r="V284" s="728"/>
      <c r="W284" s="675"/>
      <c r="X284" s="770"/>
      <c r="Y284" s="675"/>
      <c r="Z284" s="675"/>
    </row>
    <row r="285" hidden="1" outlineLevel="1">
      <c r="A285" s="675"/>
      <c r="B285" s="742"/>
      <c r="C285" s="743"/>
      <c r="D285" s="743"/>
      <c r="E285" s="743"/>
      <c r="F285" s="743"/>
      <c r="G285" s="744"/>
      <c r="H285" s="743"/>
      <c r="I285" s="743"/>
      <c r="J285" s="743"/>
      <c r="K285" s="743"/>
      <c r="L285" s="786"/>
      <c r="M285" s="782"/>
      <c r="N285" s="743"/>
      <c r="O285" s="746"/>
      <c r="Q285" s="741"/>
      <c r="R285" s="675"/>
      <c r="S285" s="216" t="str">
        <f t="array" ref="S285">IFERROR(INDEX('💻シート作成'!$D$6:$D1001, MATCH(T285, '💻シート作成'!$E$6:$E1001, 0)), "")</f>
        <v/>
      </c>
      <c r="T285" s="172"/>
      <c r="U285" s="678"/>
      <c r="V285" s="728"/>
      <c r="W285" s="675"/>
      <c r="X285" s="770"/>
      <c r="Y285" s="675"/>
      <c r="Z285" s="675"/>
    </row>
    <row r="286" hidden="1" outlineLevel="1">
      <c r="A286" s="675"/>
      <c r="B286" s="742"/>
      <c r="C286" s="743"/>
      <c r="D286" s="743"/>
      <c r="E286" s="743"/>
      <c r="F286" s="710"/>
      <c r="G286" s="711"/>
      <c r="H286" s="710"/>
      <c r="I286" s="710"/>
      <c r="J286" s="710"/>
      <c r="K286" s="710"/>
      <c r="L286" s="786"/>
      <c r="M286" s="782"/>
      <c r="N286" s="710"/>
      <c r="O286" s="713"/>
      <c r="P286" s="714"/>
      <c r="Q286" s="750"/>
      <c r="R286" s="675"/>
      <c r="S286" s="216" t="str">
        <f t="array" ref="S286">IFERROR(INDEX('💻シート作成'!$D$6:$D1001, MATCH(T286, '💻シート作成'!$E$6:$E1001, 0)), "")</f>
        <v/>
      </c>
      <c r="T286" s="172"/>
      <c r="U286" s="678"/>
      <c r="V286" s="728"/>
      <c r="W286" s="675"/>
      <c r="X286" s="770"/>
      <c r="Y286" s="675"/>
      <c r="Z286" s="675"/>
    </row>
    <row r="287" hidden="1" outlineLevel="1">
      <c r="A287" s="675"/>
      <c r="B287" s="751"/>
      <c r="C287" s="710"/>
      <c r="D287" s="710"/>
      <c r="E287" s="710"/>
      <c r="F287" s="752" t="s">
        <v>528</v>
      </c>
      <c r="G287" s="753"/>
      <c r="H287" s="754"/>
      <c r="I287" s="754"/>
      <c r="J287" s="754"/>
      <c r="K287" s="754"/>
      <c r="L287" s="753"/>
      <c r="M287" s="753"/>
      <c r="N287" s="753"/>
      <c r="O287" s="753"/>
      <c r="P287" s="753"/>
      <c r="Q287" s="755"/>
      <c r="R287" s="675"/>
      <c r="S287" s="216" t="str">
        <f t="array" ref="S287">IFERROR(INDEX('💻シート作成'!$D$6:$D1001, MATCH(T287, '💻シート作成'!$E$6:$E1001, 0)), "")</f>
        <v/>
      </c>
      <c r="T287" s="172"/>
      <c r="U287" s="678"/>
      <c r="V287" s="728"/>
      <c r="W287" s="675"/>
      <c r="X287" s="770"/>
      <c r="Y287" s="675"/>
      <c r="Z287" s="675"/>
    </row>
    <row r="288" collapsed="1">
      <c r="A288" s="675"/>
      <c r="B288" s="792" t="s">
        <v>533</v>
      </c>
      <c r="C288" s="793"/>
      <c r="D288" s="793"/>
      <c r="E288" s="793"/>
      <c r="F288" s="794"/>
      <c r="G288" s="795"/>
      <c r="H288" s="796"/>
      <c r="I288" s="796"/>
      <c r="J288" s="797"/>
      <c r="K288" s="797"/>
      <c r="L288" s="795"/>
      <c r="M288" s="795"/>
      <c r="N288" s="798"/>
      <c r="O288" s="799"/>
      <c r="P288" s="799"/>
      <c r="Q288" s="800"/>
      <c r="R288" s="675"/>
      <c r="S288" s="216" t="str">
        <f t="array" ref="S288">IFERROR(INDEX('💻シート作成'!$D$6:$D1001, MATCH(T288, '💻シート作成'!$E$6:$E1001, 0)), "")</f>
        <v/>
      </c>
      <c r="T288" s="172"/>
      <c r="U288" s="678"/>
      <c r="V288" s="728"/>
      <c r="W288" s="675"/>
      <c r="X288" s="770"/>
      <c r="Y288" s="675"/>
      <c r="Z288" s="675"/>
    </row>
    <row r="289" hidden="1" outlineLevel="1">
      <c r="A289" s="675"/>
      <c r="B289" s="756"/>
      <c r="C289" s="757">
        <f>IF(C277="","",IF(DAY(C277+1)=1,"",C277+1))</f>
        <v>46079</v>
      </c>
      <c r="D289" s="758" t="str">
        <f>TEXT(C289,"ddd")</f>
        <v>木</v>
      </c>
      <c r="E289" s="759"/>
      <c r="F289" s="787" t="s">
        <v>527</v>
      </c>
      <c r="G289" s="788"/>
      <c r="H289" s="789"/>
      <c r="I289" s="790">
        <v>0.0</v>
      </c>
      <c r="J289" s="758"/>
      <c r="K289" s="758"/>
      <c r="L289" s="768"/>
      <c r="M289" s="768"/>
      <c r="N289" s="787"/>
      <c r="O289" s="791"/>
      <c r="P289" s="784"/>
      <c r="Q289" s="785"/>
      <c r="R289" s="675"/>
      <c r="S289" s="675"/>
      <c r="T289" s="675"/>
      <c r="U289" s="678"/>
      <c r="V289" s="679"/>
      <c r="W289" s="675"/>
      <c r="X289" s="675"/>
      <c r="Y289" s="675"/>
      <c r="Z289" s="675"/>
    </row>
    <row r="290" hidden="1" outlineLevel="1">
      <c r="A290" s="675"/>
      <c r="B290" s="742"/>
      <c r="C290" s="743"/>
      <c r="D290" s="743"/>
      <c r="E290" s="743"/>
      <c r="F290" s="743"/>
      <c r="G290" s="744"/>
      <c r="H290" s="743"/>
      <c r="I290" s="743"/>
      <c r="J290" s="743"/>
      <c r="K290" s="743"/>
      <c r="L290" s="768"/>
      <c r="M290" s="768"/>
      <c r="N290" s="743"/>
      <c r="O290" s="746"/>
      <c r="Q290" s="741"/>
      <c r="R290" s="675"/>
      <c r="S290" s="675"/>
      <c r="T290" s="675"/>
      <c r="U290" s="678"/>
      <c r="V290" s="679"/>
      <c r="W290" s="675"/>
      <c r="X290" s="675"/>
      <c r="Y290" s="675"/>
      <c r="Z290" s="675"/>
    </row>
    <row r="291" hidden="1" outlineLevel="1">
      <c r="A291" s="675"/>
      <c r="B291" s="742"/>
      <c r="C291" s="743"/>
      <c r="D291" s="743"/>
      <c r="E291" s="743"/>
      <c r="F291" s="743"/>
      <c r="G291" s="744"/>
      <c r="H291" s="743"/>
      <c r="I291" s="743"/>
      <c r="J291" s="743"/>
      <c r="K291" s="743"/>
      <c r="L291" s="768"/>
      <c r="M291" s="768"/>
      <c r="N291" s="743"/>
      <c r="O291" s="746"/>
      <c r="Q291" s="741"/>
      <c r="R291" s="675"/>
      <c r="S291" s="675"/>
      <c r="T291" s="675"/>
      <c r="U291" s="678"/>
      <c r="V291" s="679"/>
      <c r="W291" s="675"/>
      <c r="X291" s="675"/>
      <c r="Y291" s="675"/>
      <c r="Z291" s="675"/>
    </row>
    <row r="292" hidden="1" outlineLevel="1">
      <c r="A292" s="675"/>
      <c r="B292" s="742"/>
      <c r="C292" s="743"/>
      <c r="D292" s="743"/>
      <c r="E292" s="743"/>
      <c r="F292" s="743"/>
      <c r="G292" s="744"/>
      <c r="H292" s="743"/>
      <c r="I292" s="743"/>
      <c r="J292" s="743"/>
      <c r="K292" s="743"/>
      <c r="L292" s="769"/>
      <c r="M292" s="768"/>
      <c r="N292" s="743"/>
      <c r="O292" s="746"/>
      <c r="Q292" s="741"/>
      <c r="R292" s="675"/>
      <c r="S292" s="675"/>
      <c r="T292" s="675"/>
      <c r="U292" s="678"/>
      <c r="V292" s="679"/>
      <c r="W292" s="675"/>
      <c r="X292" s="675"/>
      <c r="Y292" s="675"/>
      <c r="Z292" s="675"/>
    </row>
    <row r="293" hidden="1" outlineLevel="1">
      <c r="A293" s="675"/>
      <c r="B293" s="742"/>
      <c r="C293" s="743"/>
      <c r="D293" s="743"/>
      <c r="E293" s="743"/>
      <c r="F293" s="743"/>
      <c r="G293" s="744"/>
      <c r="H293" s="743"/>
      <c r="I293" s="743"/>
      <c r="J293" s="743"/>
      <c r="K293" s="743"/>
      <c r="L293" s="769"/>
      <c r="M293" s="768"/>
      <c r="N293" s="743"/>
      <c r="O293" s="746"/>
      <c r="Q293" s="741"/>
      <c r="R293" s="675"/>
      <c r="S293" s="675"/>
      <c r="T293" s="675"/>
      <c r="U293" s="678"/>
      <c r="V293" s="679"/>
      <c r="W293" s="675"/>
      <c r="X293" s="675"/>
      <c r="Y293" s="675"/>
      <c r="Z293" s="675"/>
    </row>
    <row r="294" hidden="1" outlineLevel="1">
      <c r="A294" s="675"/>
      <c r="B294" s="742"/>
      <c r="C294" s="743"/>
      <c r="D294" s="743"/>
      <c r="E294" s="743"/>
      <c r="F294" s="743"/>
      <c r="G294" s="744"/>
      <c r="H294" s="743"/>
      <c r="I294" s="743"/>
      <c r="J294" s="743"/>
      <c r="K294" s="743"/>
      <c r="L294" s="769"/>
      <c r="M294" s="768"/>
      <c r="N294" s="743"/>
      <c r="O294" s="746"/>
      <c r="Q294" s="741"/>
      <c r="R294" s="675"/>
      <c r="S294" s="675"/>
      <c r="T294" s="675"/>
      <c r="U294" s="678"/>
      <c r="V294" s="679"/>
      <c r="W294" s="675"/>
      <c r="X294" s="675"/>
      <c r="Y294" s="675"/>
      <c r="Z294" s="675"/>
    </row>
    <row r="295" hidden="1" outlineLevel="1">
      <c r="A295" s="675"/>
      <c r="B295" s="742"/>
      <c r="C295" s="743"/>
      <c r="D295" s="743"/>
      <c r="E295" s="743"/>
      <c r="F295" s="743"/>
      <c r="G295" s="744"/>
      <c r="H295" s="743"/>
      <c r="I295" s="743"/>
      <c r="J295" s="743"/>
      <c r="K295" s="743"/>
      <c r="L295" s="769"/>
      <c r="M295" s="768"/>
      <c r="N295" s="743"/>
      <c r="O295" s="746"/>
      <c r="Q295" s="741"/>
      <c r="R295" s="675"/>
      <c r="S295" s="675"/>
      <c r="T295" s="675"/>
      <c r="U295" s="678"/>
      <c r="V295" s="679"/>
      <c r="W295" s="675"/>
      <c r="X295" s="675"/>
      <c r="Y295" s="675"/>
      <c r="Z295" s="675"/>
    </row>
    <row r="296" hidden="1" outlineLevel="1">
      <c r="A296" s="675"/>
      <c r="B296" s="742"/>
      <c r="C296" s="743"/>
      <c r="D296" s="743"/>
      <c r="E296" s="743"/>
      <c r="F296" s="743"/>
      <c r="G296" s="744"/>
      <c r="H296" s="743"/>
      <c r="I296" s="743"/>
      <c r="J296" s="743"/>
      <c r="K296" s="743"/>
      <c r="L296" s="769"/>
      <c r="M296" s="768"/>
      <c r="N296" s="743"/>
      <c r="O296" s="746"/>
      <c r="Q296" s="741"/>
      <c r="R296" s="675"/>
      <c r="S296" s="675"/>
      <c r="T296" s="675"/>
      <c r="U296" s="678"/>
      <c r="V296" s="679"/>
      <c r="W296" s="675"/>
      <c r="X296" s="675"/>
      <c r="Y296" s="675"/>
      <c r="Z296" s="675"/>
    </row>
    <row r="297" hidden="1" outlineLevel="1">
      <c r="A297" s="675"/>
      <c r="B297" s="742"/>
      <c r="C297" s="743"/>
      <c r="D297" s="743"/>
      <c r="E297" s="743"/>
      <c r="F297" s="743"/>
      <c r="G297" s="744"/>
      <c r="H297" s="743"/>
      <c r="I297" s="743"/>
      <c r="J297" s="743"/>
      <c r="K297" s="743"/>
      <c r="L297" s="769"/>
      <c r="M297" s="768"/>
      <c r="N297" s="743"/>
      <c r="O297" s="746"/>
      <c r="Q297" s="741"/>
      <c r="R297" s="675"/>
      <c r="S297" s="675"/>
      <c r="T297" s="675"/>
      <c r="U297" s="678"/>
      <c r="V297" s="679"/>
      <c r="W297" s="675"/>
      <c r="X297" s="675"/>
      <c r="Y297" s="675"/>
      <c r="Z297" s="675"/>
    </row>
    <row r="298" hidden="1" outlineLevel="1">
      <c r="A298" s="675"/>
      <c r="B298" s="742"/>
      <c r="C298" s="743"/>
      <c r="D298" s="743"/>
      <c r="E298" s="743"/>
      <c r="F298" s="710"/>
      <c r="G298" s="711"/>
      <c r="H298" s="710"/>
      <c r="I298" s="710"/>
      <c r="J298" s="710"/>
      <c r="K298" s="710"/>
      <c r="L298" s="769"/>
      <c r="M298" s="768"/>
      <c r="N298" s="710"/>
      <c r="O298" s="713"/>
      <c r="P298" s="714"/>
      <c r="Q298" s="750"/>
      <c r="R298" s="675"/>
      <c r="S298" s="675"/>
      <c r="T298" s="675"/>
      <c r="U298" s="678"/>
      <c r="V298" s="679"/>
      <c r="W298" s="675"/>
      <c r="X298" s="675"/>
      <c r="Y298" s="675"/>
      <c r="Z298" s="675"/>
    </row>
    <row r="299" hidden="1" outlineLevel="1">
      <c r="A299" s="675"/>
      <c r="B299" s="751"/>
      <c r="C299" s="710"/>
      <c r="D299" s="710"/>
      <c r="E299" s="710"/>
      <c r="F299" s="771" t="s">
        <v>528</v>
      </c>
      <c r="G299" s="772"/>
      <c r="H299" s="754"/>
      <c r="I299" s="754"/>
      <c r="J299" s="754"/>
      <c r="K299" s="754"/>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527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2"/>
      <c r="C301" s="743"/>
      <c r="D301" s="743"/>
      <c r="E301" s="743"/>
      <c r="F301" s="743"/>
      <c r="G301" s="744"/>
      <c r="H301" s="743"/>
      <c r="I301" s="743"/>
      <c r="J301" s="743"/>
      <c r="K301" s="743"/>
      <c r="L301" s="782"/>
      <c r="M301" s="782"/>
      <c r="N301" s="743"/>
      <c r="O301" s="746"/>
      <c r="Q301" s="741"/>
      <c r="R301" s="675"/>
      <c r="S301" s="675"/>
      <c r="T301" s="675"/>
      <c r="U301" s="678"/>
      <c r="V301" s="679"/>
      <c r="W301" s="675"/>
      <c r="X301" s="675"/>
      <c r="Y301" s="675"/>
      <c r="Z301" s="675"/>
    </row>
    <row r="302" hidden="1" outlineLevel="1">
      <c r="A302" s="675"/>
      <c r="B302" s="742"/>
      <c r="C302" s="743"/>
      <c r="D302" s="743"/>
      <c r="E302" s="743"/>
      <c r="F302" s="743"/>
      <c r="G302" s="744"/>
      <c r="H302" s="743"/>
      <c r="I302" s="743"/>
      <c r="J302" s="743"/>
      <c r="K302" s="743"/>
      <c r="L302" s="782"/>
      <c r="M302" s="782"/>
      <c r="N302" s="743"/>
      <c r="O302" s="746"/>
      <c r="Q302" s="741"/>
      <c r="R302" s="675"/>
      <c r="S302" s="675"/>
      <c r="T302" s="675"/>
      <c r="U302" s="678"/>
      <c r="V302" s="679"/>
      <c r="W302" s="675"/>
      <c r="X302" s="675"/>
      <c r="Y302" s="675"/>
      <c r="Z302" s="675"/>
    </row>
    <row r="303" hidden="1" outlineLevel="1">
      <c r="A303" s="675"/>
      <c r="B303" s="742"/>
      <c r="C303" s="743"/>
      <c r="D303" s="743"/>
      <c r="E303" s="743"/>
      <c r="F303" s="743"/>
      <c r="G303" s="744"/>
      <c r="H303" s="743"/>
      <c r="I303" s="743"/>
      <c r="J303" s="743"/>
      <c r="K303" s="743"/>
      <c r="L303" s="786"/>
      <c r="M303" s="782"/>
      <c r="N303" s="743"/>
      <c r="O303" s="746"/>
      <c r="Q303" s="741"/>
      <c r="R303" s="675"/>
      <c r="S303" s="675"/>
      <c r="T303" s="675"/>
      <c r="U303" s="678"/>
      <c r="V303" s="679"/>
      <c r="W303" s="675"/>
      <c r="X303" s="675"/>
      <c r="Y303" s="675"/>
      <c r="Z303" s="675"/>
    </row>
    <row r="304" hidden="1" outlineLevel="1">
      <c r="A304" s="675"/>
      <c r="B304" s="742"/>
      <c r="C304" s="743"/>
      <c r="D304" s="743"/>
      <c r="E304" s="743"/>
      <c r="F304" s="743"/>
      <c r="G304" s="744"/>
      <c r="H304" s="743"/>
      <c r="I304" s="743"/>
      <c r="J304" s="743"/>
      <c r="K304" s="743"/>
      <c r="L304" s="786"/>
      <c r="M304" s="782"/>
      <c r="N304" s="743"/>
      <c r="O304" s="746"/>
      <c r="Q304" s="741"/>
      <c r="R304" s="675"/>
      <c r="S304" s="675"/>
      <c r="T304" s="675"/>
      <c r="U304" s="678"/>
      <c r="V304" s="679"/>
      <c r="W304" s="675"/>
      <c r="X304" s="675"/>
      <c r="Y304" s="675"/>
      <c r="Z304" s="675"/>
    </row>
    <row r="305" hidden="1" outlineLevel="1">
      <c r="A305" s="675"/>
      <c r="B305" s="742"/>
      <c r="C305" s="743"/>
      <c r="D305" s="743"/>
      <c r="E305" s="743"/>
      <c r="F305" s="743"/>
      <c r="G305" s="744"/>
      <c r="H305" s="743"/>
      <c r="I305" s="743"/>
      <c r="J305" s="743"/>
      <c r="K305" s="743"/>
      <c r="L305" s="786"/>
      <c r="M305" s="782"/>
      <c r="N305" s="743"/>
      <c r="O305" s="746"/>
      <c r="Q305" s="741"/>
      <c r="R305" s="675"/>
      <c r="S305" s="675"/>
      <c r="T305" s="675"/>
      <c r="U305" s="678"/>
      <c r="V305" s="679"/>
      <c r="W305" s="675"/>
      <c r="X305" s="675"/>
      <c r="Y305" s="675"/>
      <c r="Z305" s="675"/>
    </row>
    <row r="306" hidden="1" outlineLevel="1">
      <c r="A306" s="675"/>
      <c r="B306" s="742"/>
      <c r="C306" s="743"/>
      <c r="D306" s="743"/>
      <c r="E306" s="743"/>
      <c r="F306" s="743"/>
      <c r="G306" s="744"/>
      <c r="H306" s="743"/>
      <c r="I306" s="743"/>
      <c r="J306" s="743"/>
      <c r="K306" s="743"/>
      <c r="L306" s="786"/>
      <c r="M306" s="782"/>
      <c r="N306" s="743"/>
      <c r="O306" s="746"/>
      <c r="Q306" s="741"/>
      <c r="R306" s="675"/>
      <c r="S306" s="675"/>
      <c r="T306" s="675"/>
      <c r="U306" s="678"/>
      <c r="V306" s="679"/>
      <c r="W306" s="675"/>
      <c r="X306" s="675"/>
      <c r="Y306" s="675"/>
      <c r="Z306" s="675"/>
    </row>
    <row r="307" hidden="1" outlineLevel="1">
      <c r="A307" s="675"/>
      <c r="B307" s="742"/>
      <c r="C307" s="743"/>
      <c r="D307" s="743"/>
      <c r="E307" s="743"/>
      <c r="F307" s="743"/>
      <c r="G307" s="744"/>
      <c r="H307" s="743"/>
      <c r="I307" s="743"/>
      <c r="J307" s="743"/>
      <c r="K307" s="743"/>
      <c r="L307" s="786"/>
      <c r="M307" s="782"/>
      <c r="N307" s="743"/>
      <c r="O307" s="746"/>
      <c r="Q307" s="741"/>
      <c r="R307" s="675"/>
      <c r="S307" s="675"/>
      <c r="T307" s="675"/>
      <c r="U307" s="678"/>
      <c r="V307" s="679"/>
      <c r="W307" s="675"/>
      <c r="X307" s="675"/>
      <c r="Y307" s="675"/>
      <c r="Z307" s="675"/>
    </row>
    <row r="308" hidden="1" outlineLevel="1">
      <c r="A308" s="675"/>
      <c r="B308" s="742"/>
      <c r="C308" s="743"/>
      <c r="D308" s="743"/>
      <c r="E308" s="743"/>
      <c r="F308" s="743"/>
      <c r="G308" s="744"/>
      <c r="H308" s="743"/>
      <c r="I308" s="743"/>
      <c r="J308" s="743"/>
      <c r="K308" s="743"/>
      <c r="L308" s="786"/>
      <c r="M308" s="782"/>
      <c r="N308" s="743"/>
      <c r="O308" s="746"/>
      <c r="Q308" s="741"/>
      <c r="R308" s="675"/>
      <c r="S308" s="675"/>
      <c r="T308" s="675"/>
      <c r="U308" s="678"/>
      <c r="V308" s="679"/>
      <c r="W308" s="675"/>
      <c r="X308" s="675"/>
      <c r="Y308" s="675"/>
      <c r="Z308" s="675"/>
    </row>
    <row r="309" hidden="1" outlineLevel="1">
      <c r="A309" s="675"/>
      <c r="B309" s="742"/>
      <c r="C309" s="743"/>
      <c r="D309" s="743"/>
      <c r="E309" s="743"/>
      <c r="F309" s="710"/>
      <c r="G309" s="711"/>
      <c r="H309" s="710"/>
      <c r="I309" s="710"/>
      <c r="J309" s="710"/>
      <c r="K309" s="710"/>
      <c r="L309" s="786"/>
      <c r="M309" s="782"/>
      <c r="N309" s="710"/>
      <c r="O309" s="713"/>
      <c r="P309" s="714"/>
      <c r="Q309" s="750"/>
      <c r="R309" s="675"/>
      <c r="S309" s="675"/>
      <c r="T309" s="675"/>
      <c r="U309" s="678"/>
      <c r="V309" s="679"/>
      <c r="W309" s="675"/>
      <c r="X309" s="675"/>
      <c r="Y309" s="675"/>
      <c r="Z309" s="675"/>
    </row>
    <row r="310" hidden="1" outlineLevel="1">
      <c r="A310" s="675"/>
      <c r="B310" s="751"/>
      <c r="C310" s="710"/>
      <c r="D310" s="710"/>
      <c r="E310" s="710"/>
      <c r="F310" s="752" t="s">
        <v>528</v>
      </c>
      <c r="G310" s="753"/>
      <c r="H310" s="754"/>
      <c r="I310" s="754"/>
      <c r="J310" s="754"/>
      <c r="K310" s="754"/>
      <c r="L310" s="753"/>
      <c r="M310" s="753"/>
      <c r="N310" s="753"/>
      <c r="O310" s="753"/>
      <c r="P310" s="753"/>
      <c r="Q310" s="755"/>
      <c r="R310" s="675"/>
      <c r="S310" s="675"/>
      <c r="T310" s="675"/>
      <c r="U310" s="678"/>
      <c r="V310" s="679"/>
      <c r="W310" s="675"/>
      <c r="X310" s="675"/>
      <c r="Y310" s="675"/>
      <c r="Z310" s="675"/>
    </row>
    <row r="311" hidden="1" outlineLevel="1">
      <c r="A311" s="675"/>
      <c r="B311" s="756"/>
      <c r="C311" s="757">
        <f>IF(C300="","",IF(DAY(C300+1)=1,"",C300+1))</f>
        <v>46081</v>
      </c>
      <c r="D311" s="758" t="str">
        <f>TEXT(C311,"ddd")</f>
        <v>土</v>
      </c>
      <c r="E311" s="759"/>
      <c r="F311" s="787" t="s">
        <v>527</v>
      </c>
      <c r="G311" s="788"/>
      <c r="H311" s="789"/>
      <c r="I311" s="790">
        <v>0.0</v>
      </c>
      <c r="J311" s="758"/>
      <c r="K311" s="758"/>
      <c r="L311" s="768"/>
      <c r="M311" s="768"/>
      <c r="N311" s="787"/>
      <c r="O311" s="791"/>
      <c r="P311" s="784"/>
      <c r="Q311" s="785"/>
      <c r="R311" s="675"/>
      <c r="S311" s="675"/>
      <c r="T311" s="675"/>
      <c r="U311" s="678"/>
      <c r="V311" s="679"/>
      <c r="W311" s="675"/>
      <c r="X311" s="675"/>
      <c r="Y311" s="675"/>
      <c r="Z311" s="675"/>
    </row>
    <row r="312" hidden="1" outlineLevel="1">
      <c r="A312" s="675"/>
      <c r="B312" s="742"/>
      <c r="C312" s="743"/>
      <c r="D312" s="743"/>
      <c r="E312" s="743"/>
      <c r="F312" s="743"/>
      <c r="G312" s="744"/>
      <c r="H312" s="743"/>
      <c r="I312" s="743"/>
      <c r="J312" s="743"/>
      <c r="K312" s="743"/>
      <c r="L312" s="768"/>
      <c r="M312" s="768"/>
      <c r="N312" s="743"/>
      <c r="O312" s="746"/>
      <c r="Q312" s="741"/>
      <c r="R312" s="675"/>
      <c r="S312" s="675"/>
      <c r="T312" s="675"/>
      <c r="U312" s="678"/>
      <c r="V312" s="679"/>
      <c r="W312" s="675"/>
      <c r="X312" s="675"/>
      <c r="Y312" s="675"/>
      <c r="Z312" s="675"/>
    </row>
    <row r="313" hidden="1" outlineLevel="1">
      <c r="A313" s="675"/>
      <c r="B313" s="742"/>
      <c r="C313" s="743"/>
      <c r="D313" s="743"/>
      <c r="E313" s="743"/>
      <c r="F313" s="743"/>
      <c r="G313" s="744"/>
      <c r="H313" s="743"/>
      <c r="I313" s="743"/>
      <c r="J313" s="743"/>
      <c r="K313" s="743"/>
      <c r="L313" s="768"/>
      <c r="M313" s="768"/>
      <c r="N313" s="743"/>
      <c r="O313" s="746"/>
      <c r="Q313" s="741"/>
      <c r="R313" s="675"/>
      <c r="S313" s="675"/>
      <c r="T313" s="675"/>
      <c r="U313" s="678"/>
      <c r="V313" s="679"/>
      <c r="W313" s="675"/>
      <c r="X313" s="675"/>
      <c r="Y313" s="675"/>
      <c r="Z313" s="675"/>
    </row>
    <row r="314" hidden="1" outlineLevel="1">
      <c r="A314" s="675"/>
      <c r="B314" s="742"/>
      <c r="C314" s="743"/>
      <c r="D314" s="743"/>
      <c r="E314" s="743"/>
      <c r="F314" s="743"/>
      <c r="G314" s="744"/>
      <c r="H314" s="743"/>
      <c r="I314" s="743"/>
      <c r="J314" s="743"/>
      <c r="K314" s="743"/>
      <c r="L314" s="769"/>
      <c r="M314" s="768"/>
      <c r="N314" s="743"/>
      <c r="O314" s="746"/>
      <c r="Q314" s="741"/>
      <c r="R314" s="675"/>
      <c r="S314" s="675"/>
      <c r="T314" s="675"/>
      <c r="U314" s="678"/>
      <c r="V314" s="679"/>
      <c r="W314" s="675"/>
      <c r="X314" s="675"/>
      <c r="Y314" s="675"/>
      <c r="Z314" s="675"/>
    </row>
    <row r="315" hidden="1" outlineLevel="1">
      <c r="A315" s="675"/>
      <c r="B315" s="742"/>
      <c r="C315" s="743"/>
      <c r="D315" s="743"/>
      <c r="E315" s="743"/>
      <c r="F315" s="743"/>
      <c r="G315" s="744"/>
      <c r="H315" s="743"/>
      <c r="I315" s="743"/>
      <c r="J315" s="743"/>
      <c r="K315" s="743"/>
      <c r="L315" s="769"/>
      <c r="M315" s="768"/>
      <c r="N315" s="743"/>
      <c r="O315" s="746"/>
      <c r="Q315" s="741"/>
      <c r="R315" s="675"/>
      <c r="S315" s="675"/>
      <c r="T315" s="675"/>
      <c r="U315" s="678"/>
      <c r="V315" s="679"/>
      <c r="W315" s="675"/>
      <c r="X315" s="675"/>
      <c r="Y315" s="675"/>
      <c r="Z315" s="675"/>
    </row>
    <row r="316" hidden="1" outlineLevel="1">
      <c r="A316" s="675"/>
      <c r="B316" s="742"/>
      <c r="C316" s="743"/>
      <c r="D316" s="743"/>
      <c r="E316" s="743"/>
      <c r="F316" s="743"/>
      <c r="G316" s="744"/>
      <c r="H316" s="743"/>
      <c r="I316" s="743"/>
      <c r="J316" s="743"/>
      <c r="K316" s="743"/>
      <c r="L316" s="769"/>
      <c r="M316" s="768"/>
      <c r="N316" s="743"/>
      <c r="O316" s="746"/>
      <c r="Q316" s="741"/>
      <c r="R316" s="675"/>
      <c r="S316" s="675"/>
      <c r="T316" s="675"/>
      <c r="U316" s="678"/>
      <c r="V316" s="679"/>
      <c r="W316" s="675"/>
      <c r="X316" s="675"/>
      <c r="Y316" s="675"/>
      <c r="Z316" s="675"/>
    </row>
    <row r="317" hidden="1" outlineLevel="1">
      <c r="A317" s="675"/>
      <c r="B317" s="742"/>
      <c r="C317" s="743"/>
      <c r="D317" s="743"/>
      <c r="E317" s="743"/>
      <c r="F317" s="743"/>
      <c r="G317" s="744"/>
      <c r="H317" s="743"/>
      <c r="I317" s="743"/>
      <c r="J317" s="743"/>
      <c r="K317" s="743"/>
      <c r="L317" s="769"/>
      <c r="M317" s="768"/>
      <c r="N317" s="743"/>
      <c r="O317" s="746"/>
      <c r="Q317" s="741"/>
      <c r="R317" s="675"/>
      <c r="S317" s="675"/>
      <c r="T317" s="675"/>
      <c r="U317" s="678"/>
      <c r="V317" s="679"/>
      <c r="W317" s="675"/>
      <c r="X317" s="675"/>
      <c r="Y317" s="675"/>
      <c r="Z317" s="675"/>
    </row>
    <row r="318" hidden="1" outlineLevel="1">
      <c r="A318" s="675"/>
      <c r="B318" s="742"/>
      <c r="C318" s="743"/>
      <c r="D318" s="743"/>
      <c r="E318" s="743"/>
      <c r="F318" s="743"/>
      <c r="G318" s="744"/>
      <c r="H318" s="743"/>
      <c r="I318" s="743"/>
      <c r="J318" s="743"/>
      <c r="K318" s="743"/>
      <c r="L318" s="769"/>
      <c r="M318" s="768"/>
      <c r="N318" s="743"/>
      <c r="O318" s="746"/>
      <c r="Q318" s="741"/>
      <c r="R318" s="675"/>
      <c r="S318" s="675"/>
      <c r="T318" s="675"/>
      <c r="U318" s="678"/>
      <c r="V318" s="679"/>
      <c r="W318" s="675"/>
      <c r="X318" s="675"/>
      <c r="Y318" s="675"/>
      <c r="Z318" s="675"/>
    </row>
    <row r="319" hidden="1" outlineLevel="1">
      <c r="A319" s="675"/>
      <c r="B319" s="742"/>
      <c r="C319" s="743"/>
      <c r="D319" s="743"/>
      <c r="E319" s="743"/>
      <c r="F319" s="743"/>
      <c r="G319" s="744"/>
      <c r="H319" s="743"/>
      <c r="I319" s="743"/>
      <c r="J319" s="743"/>
      <c r="K319" s="743"/>
      <c r="L319" s="769"/>
      <c r="M319" s="768"/>
      <c r="N319" s="743"/>
      <c r="O319" s="746"/>
      <c r="Q319" s="741"/>
      <c r="R319" s="675"/>
      <c r="S319" s="675"/>
      <c r="T319" s="675"/>
      <c r="U319" s="678"/>
      <c r="V319" s="679"/>
      <c r="W319" s="675"/>
      <c r="X319" s="675"/>
      <c r="Y319" s="675"/>
      <c r="Z319" s="675"/>
    </row>
    <row r="320" hidden="1" outlineLevel="1">
      <c r="A320" s="675"/>
      <c r="B320" s="742"/>
      <c r="C320" s="743"/>
      <c r="D320" s="743"/>
      <c r="E320" s="743"/>
      <c r="F320" s="710"/>
      <c r="G320" s="711"/>
      <c r="H320" s="710"/>
      <c r="I320" s="710"/>
      <c r="J320" s="710"/>
      <c r="K320" s="710"/>
      <c r="L320" s="769"/>
      <c r="M320" s="768"/>
      <c r="N320" s="710"/>
      <c r="O320" s="713"/>
      <c r="P320" s="714"/>
      <c r="Q320" s="750"/>
      <c r="R320" s="675"/>
      <c r="S320" s="675"/>
      <c r="T320" s="675"/>
      <c r="U320" s="678"/>
      <c r="V320" s="679"/>
      <c r="W320" s="675"/>
      <c r="X320" s="675"/>
      <c r="Y320" s="675"/>
      <c r="Z320" s="675"/>
    </row>
    <row r="321" hidden="1" outlineLevel="1">
      <c r="A321" s="675"/>
      <c r="B321" s="751"/>
      <c r="C321" s="710"/>
      <c r="D321" s="710"/>
      <c r="E321" s="710"/>
      <c r="F321" s="771" t="s">
        <v>528</v>
      </c>
      <c r="G321" s="772"/>
      <c r="H321" s="754"/>
      <c r="I321" s="754"/>
      <c r="J321" s="754"/>
      <c r="K321" s="754"/>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527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2"/>
      <c r="C323" s="743"/>
      <c r="D323" s="743"/>
      <c r="E323" s="743"/>
      <c r="F323" s="743"/>
      <c r="G323" s="744"/>
      <c r="H323" s="743"/>
      <c r="I323" s="743"/>
      <c r="J323" s="743"/>
      <c r="K323" s="743"/>
      <c r="L323" s="782"/>
      <c r="M323" s="782"/>
      <c r="N323" s="743"/>
      <c r="O323" s="746"/>
      <c r="Q323" s="741"/>
      <c r="R323" s="675"/>
      <c r="S323" s="675"/>
      <c r="T323" s="675"/>
      <c r="U323" s="678"/>
      <c r="V323" s="679"/>
      <c r="W323" s="675"/>
      <c r="X323" s="675"/>
      <c r="Y323" s="675"/>
      <c r="Z323" s="675"/>
    </row>
    <row r="324" hidden="1" outlineLevel="1">
      <c r="A324" s="675"/>
      <c r="B324" s="742"/>
      <c r="C324" s="743"/>
      <c r="D324" s="743"/>
      <c r="E324" s="743"/>
      <c r="F324" s="743"/>
      <c r="G324" s="744"/>
      <c r="H324" s="743"/>
      <c r="I324" s="743"/>
      <c r="J324" s="743"/>
      <c r="K324" s="743"/>
      <c r="L324" s="782"/>
      <c r="M324" s="782"/>
      <c r="N324" s="743"/>
      <c r="O324" s="746"/>
      <c r="Q324" s="741"/>
      <c r="R324" s="675"/>
      <c r="S324" s="675"/>
      <c r="T324" s="675"/>
      <c r="U324" s="678"/>
      <c r="V324" s="679"/>
      <c r="W324" s="675"/>
      <c r="X324" s="675"/>
      <c r="Y324" s="675"/>
      <c r="Z324" s="675"/>
    </row>
    <row r="325" hidden="1" outlineLevel="1">
      <c r="A325" s="675"/>
      <c r="B325" s="742"/>
      <c r="C325" s="743"/>
      <c r="D325" s="743"/>
      <c r="E325" s="743"/>
      <c r="F325" s="743"/>
      <c r="G325" s="744"/>
      <c r="H325" s="743"/>
      <c r="I325" s="743"/>
      <c r="J325" s="743"/>
      <c r="K325" s="743"/>
      <c r="L325" s="786"/>
      <c r="M325" s="782"/>
      <c r="N325" s="743"/>
      <c r="O325" s="746"/>
      <c r="Q325" s="741"/>
      <c r="R325" s="675"/>
      <c r="S325" s="675"/>
      <c r="T325" s="675"/>
      <c r="U325" s="678"/>
      <c r="V325" s="679"/>
      <c r="W325" s="675"/>
      <c r="X325" s="675"/>
      <c r="Y325" s="675"/>
      <c r="Z325" s="675"/>
    </row>
    <row r="326" hidden="1" outlineLevel="1">
      <c r="A326" s="675"/>
      <c r="B326" s="742"/>
      <c r="C326" s="743"/>
      <c r="D326" s="743"/>
      <c r="E326" s="743"/>
      <c r="F326" s="743"/>
      <c r="G326" s="744"/>
      <c r="H326" s="743"/>
      <c r="I326" s="743"/>
      <c r="J326" s="743"/>
      <c r="K326" s="743"/>
      <c r="L326" s="786"/>
      <c r="M326" s="782"/>
      <c r="N326" s="743"/>
      <c r="O326" s="746"/>
      <c r="Q326" s="741"/>
      <c r="R326" s="675"/>
      <c r="S326" s="675"/>
      <c r="T326" s="675"/>
      <c r="U326" s="678"/>
      <c r="V326" s="679"/>
      <c r="W326" s="675"/>
      <c r="X326" s="675"/>
      <c r="Y326" s="675"/>
      <c r="Z326" s="675"/>
    </row>
    <row r="327" hidden="1" outlineLevel="1">
      <c r="A327" s="675"/>
      <c r="B327" s="742"/>
      <c r="C327" s="743"/>
      <c r="D327" s="743"/>
      <c r="E327" s="743"/>
      <c r="F327" s="743"/>
      <c r="G327" s="744"/>
      <c r="H327" s="743"/>
      <c r="I327" s="743"/>
      <c r="J327" s="743"/>
      <c r="K327" s="743"/>
      <c r="L327" s="786"/>
      <c r="M327" s="782"/>
      <c r="N327" s="743"/>
      <c r="O327" s="746"/>
      <c r="Q327" s="741"/>
      <c r="R327" s="675"/>
      <c r="S327" s="675"/>
      <c r="T327" s="675"/>
      <c r="U327" s="678"/>
      <c r="V327" s="679"/>
      <c r="W327" s="675"/>
      <c r="X327" s="675"/>
      <c r="Y327" s="675"/>
      <c r="Z327" s="675"/>
    </row>
    <row r="328" hidden="1" outlineLevel="1">
      <c r="A328" s="675"/>
      <c r="B328" s="742"/>
      <c r="C328" s="743"/>
      <c r="D328" s="743"/>
      <c r="E328" s="743"/>
      <c r="F328" s="743"/>
      <c r="G328" s="744"/>
      <c r="H328" s="743"/>
      <c r="I328" s="743"/>
      <c r="J328" s="743"/>
      <c r="K328" s="743"/>
      <c r="L328" s="786"/>
      <c r="M328" s="782"/>
      <c r="N328" s="743"/>
      <c r="O328" s="746"/>
      <c r="Q328" s="741"/>
      <c r="R328" s="675"/>
      <c r="S328" s="675"/>
      <c r="T328" s="675"/>
      <c r="U328" s="678"/>
      <c r="V328" s="679"/>
      <c r="W328" s="675"/>
      <c r="X328" s="675"/>
      <c r="Y328" s="675"/>
      <c r="Z328" s="675"/>
    </row>
    <row r="329" hidden="1" outlineLevel="1">
      <c r="A329" s="675"/>
      <c r="B329" s="742"/>
      <c r="C329" s="743"/>
      <c r="D329" s="743"/>
      <c r="E329" s="743"/>
      <c r="F329" s="743"/>
      <c r="G329" s="744"/>
      <c r="H329" s="743"/>
      <c r="I329" s="743"/>
      <c r="J329" s="743"/>
      <c r="K329" s="743"/>
      <c r="L329" s="786"/>
      <c r="M329" s="782"/>
      <c r="N329" s="743"/>
      <c r="O329" s="746"/>
      <c r="Q329" s="741"/>
      <c r="R329" s="675"/>
      <c r="S329" s="675"/>
      <c r="T329" s="675"/>
      <c r="U329" s="678"/>
      <c r="V329" s="679"/>
      <c r="W329" s="675"/>
      <c r="X329" s="675"/>
      <c r="Y329" s="675"/>
      <c r="Z329" s="675"/>
    </row>
    <row r="330" hidden="1" outlineLevel="1">
      <c r="A330" s="675"/>
      <c r="B330" s="742"/>
      <c r="C330" s="743"/>
      <c r="D330" s="743"/>
      <c r="E330" s="743"/>
      <c r="F330" s="743"/>
      <c r="G330" s="744"/>
      <c r="H330" s="743"/>
      <c r="I330" s="743"/>
      <c r="J330" s="743"/>
      <c r="K330" s="743"/>
      <c r="L330" s="786"/>
      <c r="M330" s="782"/>
      <c r="N330" s="743"/>
      <c r="O330" s="746"/>
      <c r="Q330" s="741"/>
      <c r="R330" s="675"/>
      <c r="S330" s="675"/>
      <c r="T330" s="675"/>
      <c r="U330" s="678"/>
      <c r="V330" s="679"/>
      <c r="W330" s="675"/>
      <c r="X330" s="675"/>
      <c r="Y330" s="675"/>
      <c r="Z330" s="675"/>
    </row>
    <row r="331" hidden="1" outlineLevel="1">
      <c r="A331" s="675"/>
      <c r="B331" s="742"/>
      <c r="C331" s="743"/>
      <c r="D331" s="743"/>
      <c r="E331" s="743"/>
      <c r="F331" s="710"/>
      <c r="G331" s="711"/>
      <c r="H331" s="710"/>
      <c r="I331" s="710"/>
      <c r="J331" s="710"/>
      <c r="K331" s="710"/>
      <c r="L331" s="786"/>
      <c r="M331" s="782"/>
      <c r="N331" s="710"/>
      <c r="O331" s="713"/>
      <c r="P331" s="714"/>
      <c r="Q331" s="750"/>
      <c r="R331" s="675"/>
      <c r="S331" s="675"/>
      <c r="T331" s="675"/>
      <c r="U331" s="678"/>
      <c r="V331" s="679"/>
      <c r="W331" s="675"/>
      <c r="X331" s="675"/>
      <c r="Y331" s="675"/>
      <c r="Z331" s="675"/>
    </row>
    <row r="332" hidden="1" outlineLevel="1">
      <c r="A332" s="675"/>
      <c r="B332" s="751"/>
      <c r="C332" s="710"/>
      <c r="D332" s="710"/>
      <c r="E332" s="710"/>
      <c r="F332" s="752" t="s">
        <v>528</v>
      </c>
      <c r="G332" s="753"/>
      <c r="H332" s="754"/>
      <c r="I332" s="754"/>
      <c r="J332" s="754"/>
      <c r="K332" s="754"/>
      <c r="L332" s="753"/>
      <c r="M332" s="753"/>
      <c r="N332" s="753"/>
      <c r="O332" s="753"/>
      <c r="P332" s="753"/>
      <c r="Q332" s="755"/>
      <c r="R332" s="675"/>
      <c r="S332" s="675"/>
      <c r="T332" s="675"/>
      <c r="U332" s="678"/>
      <c r="V332" s="679"/>
      <c r="W332" s="675"/>
      <c r="X332" s="675"/>
      <c r="Y332" s="675"/>
      <c r="Z332" s="675"/>
    </row>
    <row r="333" hidden="1" outlineLevel="1">
      <c r="A333" s="675"/>
      <c r="B333" s="756"/>
      <c r="C333" s="757" t="str">
        <f>IF(C322="","",IF(DAY(C322+1)=1,"",C322+1))</f>
        <v/>
      </c>
      <c r="D333" s="758" t="str">
        <f>TEXT(C333,"ddd")</f>
        <v/>
      </c>
      <c r="E333" s="759"/>
      <c r="F333" s="787" t="s">
        <v>527</v>
      </c>
      <c r="G333" s="788"/>
      <c r="H333" s="789"/>
      <c r="I333" s="790">
        <v>0.0</v>
      </c>
      <c r="J333" s="758"/>
      <c r="K333" s="758"/>
      <c r="L333" s="768"/>
      <c r="M333" s="768"/>
      <c r="N333" s="787"/>
      <c r="O333" s="791"/>
      <c r="P333" s="784"/>
      <c r="Q333" s="785"/>
      <c r="R333" s="675"/>
      <c r="S333" s="675"/>
      <c r="T333" s="675"/>
      <c r="U333" s="678"/>
      <c r="V333" s="679"/>
      <c r="W333" s="675"/>
      <c r="X333" s="675"/>
      <c r="Y333" s="675"/>
      <c r="Z333" s="675"/>
    </row>
    <row r="334" hidden="1" outlineLevel="1">
      <c r="A334" s="675"/>
      <c r="B334" s="742"/>
      <c r="C334" s="743"/>
      <c r="D334" s="743"/>
      <c r="E334" s="743"/>
      <c r="F334" s="743"/>
      <c r="G334" s="744"/>
      <c r="H334" s="743"/>
      <c r="I334" s="743"/>
      <c r="J334" s="743"/>
      <c r="K334" s="743"/>
      <c r="L334" s="768"/>
      <c r="M334" s="768"/>
      <c r="N334" s="743"/>
      <c r="O334" s="746"/>
      <c r="Q334" s="741"/>
      <c r="R334" s="675"/>
      <c r="S334" s="675"/>
      <c r="T334" s="675"/>
      <c r="U334" s="678"/>
      <c r="V334" s="679"/>
      <c r="W334" s="675"/>
      <c r="X334" s="675"/>
      <c r="Y334" s="675"/>
      <c r="Z334" s="675"/>
    </row>
    <row r="335" hidden="1" outlineLevel="1">
      <c r="A335" s="675"/>
      <c r="B335" s="742"/>
      <c r="C335" s="743"/>
      <c r="D335" s="743"/>
      <c r="E335" s="743"/>
      <c r="F335" s="743"/>
      <c r="G335" s="744"/>
      <c r="H335" s="743"/>
      <c r="I335" s="743"/>
      <c r="J335" s="743"/>
      <c r="K335" s="743"/>
      <c r="L335" s="768"/>
      <c r="M335" s="768"/>
      <c r="N335" s="743"/>
      <c r="O335" s="746"/>
      <c r="Q335" s="741"/>
      <c r="R335" s="675"/>
      <c r="S335" s="675"/>
      <c r="T335" s="675"/>
      <c r="U335" s="678"/>
      <c r="V335" s="679"/>
      <c r="W335" s="675"/>
      <c r="X335" s="675"/>
      <c r="Y335" s="675"/>
      <c r="Z335" s="675"/>
    </row>
    <row r="336" hidden="1" outlineLevel="1">
      <c r="A336" s="675"/>
      <c r="B336" s="742"/>
      <c r="C336" s="743"/>
      <c r="D336" s="743"/>
      <c r="E336" s="743"/>
      <c r="F336" s="743"/>
      <c r="G336" s="744"/>
      <c r="H336" s="743"/>
      <c r="I336" s="743"/>
      <c r="J336" s="743"/>
      <c r="K336" s="743"/>
      <c r="L336" s="769"/>
      <c r="M336" s="768"/>
      <c r="N336" s="743"/>
      <c r="O336" s="746"/>
      <c r="Q336" s="741"/>
      <c r="R336" s="675"/>
      <c r="S336" s="675"/>
      <c r="T336" s="675"/>
      <c r="U336" s="678"/>
      <c r="V336" s="679"/>
      <c r="W336" s="675"/>
      <c r="X336" s="675"/>
      <c r="Y336" s="675"/>
      <c r="Z336" s="675"/>
    </row>
    <row r="337" hidden="1" outlineLevel="1">
      <c r="A337" s="675"/>
      <c r="B337" s="742"/>
      <c r="C337" s="743"/>
      <c r="D337" s="743"/>
      <c r="E337" s="743"/>
      <c r="F337" s="743"/>
      <c r="G337" s="744"/>
      <c r="H337" s="743"/>
      <c r="I337" s="743"/>
      <c r="J337" s="743"/>
      <c r="K337" s="743"/>
      <c r="L337" s="769"/>
      <c r="M337" s="768"/>
      <c r="N337" s="743"/>
      <c r="O337" s="746"/>
      <c r="Q337" s="741"/>
      <c r="R337" s="675"/>
      <c r="S337" s="675"/>
      <c r="T337" s="675"/>
      <c r="U337" s="678"/>
      <c r="V337" s="679"/>
      <c r="W337" s="675"/>
      <c r="X337" s="675"/>
      <c r="Y337" s="675"/>
      <c r="Z337" s="675"/>
    </row>
    <row r="338" hidden="1" outlineLevel="1">
      <c r="A338" s="675"/>
      <c r="B338" s="742"/>
      <c r="C338" s="743"/>
      <c r="D338" s="743"/>
      <c r="E338" s="743"/>
      <c r="F338" s="743"/>
      <c r="G338" s="744"/>
      <c r="H338" s="743"/>
      <c r="I338" s="743"/>
      <c r="J338" s="743"/>
      <c r="K338" s="743"/>
      <c r="L338" s="769"/>
      <c r="M338" s="768"/>
      <c r="N338" s="743"/>
      <c r="O338" s="746"/>
      <c r="Q338" s="741"/>
      <c r="R338" s="675"/>
      <c r="S338" s="675"/>
      <c r="T338" s="675"/>
      <c r="U338" s="678"/>
      <c r="V338" s="679"/>
      <c r="W338" s="675"/>
      <c r="X338" s="675"/>
      <c r="Y338" s="675"/>
      <c r="Z338" s="675"/>
    </row>
    <row r="339" hidden="1" outlineLevel="1">
      <c r="A339" s="675"/>
      <c r="B339" s="742"/>
      <c r="C339" s="743"/>
      <c r="D339" s="743"/>
      <c r="E339" s="743"/>
      <c r="F339" s="743"/>
      <c r="G339" s="744"/>
      <c r="H339" s="743"/>
      <c r="I339" s="743"/>
      <c r="J339" s="743"/>
      <c r="K339" s="743"/>
      <c r="L339" s="769"/>
      <c r="M339" s="768"/>
      <c r="N339" s="743"/>
      <c r="O339" s="746"/>
      <c r="Q339" s="741"/>
      <c r="R339" s="675"/>
      <c r="S339" s="675"/>
      <c r="T339" s="675"/>
      <c r="U339" s="678"/>
      <c r="V339" s="679"/>
      <c r="W339" s="675"/>
      <c r="X339" s="675"/>
      <c r="Y339" s="675"/>
      <c r="Z339" s="675"/>
    </row>
    <row r="340" hidden="1" outlineLevel="1">
      <c r="A340" s="675"/>
      <c r="B340" s="742"/>
      <c r="C340" s="743"/>
      <c r="D340" s="743"/>
      <c r="E340" s="743"/>
      <c r="F340" s="743"/>
      <c r="G340" s="744"/>
      <c r="H340" s="743"/>
      <c r="I340" s="743"/>
      <c r="J340" s="743"/>
      <c r="K340" s="743"/>
      <c r="L340" s="769"/>
      <c r="M340" s="768"/>
      <c r="N340" s="743"/>
      <c r="O340" s="746"/>
      <c r="Q340" s="741"/>
      <c r="R340" s="675"/>
      <c r="S340" s="675"/>
      <c r="T340" s="675"/>
      <c r="U340" s="678"/>
      <c r="V340" s="679"/>
      <c r="W340" s="675"/>
      <c r="X340" s="675"/>
      <c r="Y340" s="675"/>
      <c r="Z340" s="675"/>
    </row>
    <row r="341" hidden="1" outlineLevel="1">
      <c r="A341" s="675"/>
      <c r="B341" s="742"/>
      <c r="C341" s="743"/>
      <c r="D341" s="743"/>
      <c r="E341" s="743"/>
      <c r="F341" s="743"/>
      <c r="G341" s="744"/>
      <c r="H341" s="743"/>
      <c r="I341" s="743"/>
      <c r="J341" s="743"/>
      <c r="K341" s="743"/>
      <c r="L341" s="769"/>
      <c r="M341" s="768"/>
      <c r="N341" s="743"/>
      <c r="O341" s="746"/>
      <c r="Q341" s="741"/>
      <c r="R341" s="675"/>
      <c r="S341" s="675"/>
      <c r="T341" s="675"/>
      <c r="U341" s="678"/>
      <c r="V341" s="679"/>
      <c r="W341" s="675"/>
      <c r="X341" s="675"/>
      <c r="Y341" s="675"/>
      <c r="Z341" s="675"/>
    </row>
    <row r="342" hidden="1" outlineLevel="1">
      <c r="A342" s="675"/>
      <c r="B342" s="742"/>
      <c r="C342" s="743"/>
      <c r="D342" s="743"/>
      <c r="E342" s="743"/>
      <c r="F342" s="710"/>
      <c r="G342" s="711"/>
      <c r="H342" s="710"/>
      <c r="I342" s="710"/>
      <c r="J342" s="710"/>
      <c r="K342" s="710"/>
      <c r="L342" s="769"/>
      <c r="M342" s="768"/>
      <c r="N342" s="710"/>
      <c r="O342" s="713"/>
      <c r="P342" s="714"/>
      <c r="Q342" s="750"/>
      <c r="R342" s="675"/>
      <c r="S342" s="675"/>
      <c r="T342" s="675"/>
      <c r="U342" s="678"/>
      <c r="V342" s="679"/>
      <c r="W342" s="675"/>
      <c r="X342" s="675"/>
      <c r="Y342" s="675"/>
      <c r="Z342" s="675"/>
    </row>
    <row r="343" hidden="1" outlineLevel="1">
      <c r="A343" s="675"/>
      <c r="B343" s="751"/>
      <c r="C343" s="710"/>
      <c r="D343" s="710"/>
      <c r="E343" s="710"/>
      <c r="F343" s="771" t="s">
        <v>528</v>
      </c>
      <c r="G343" s="772"/>
      <c r="H343" s="754"/>
      <c r="I343" s="754"/>
      <c r="J343" s="754"/>
      <c r="K343" s="754"/>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527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2"/>
      <c r="C345" s="743"/>
      <c r="D345" s="743"/>
      <c r="E345" s="743"/>
      <c r="F345" s="743"/>
      <c r="G345" s="744"/>
      <c r="H345" s="743"/>
      <c r="I345" s="743"/>
      <c r="J345" s="743"/>
      <c r="K345" s="743"/>
      <c r="L345" s="782"/>
      <c r="M345" s="782"/>
      <c r="N345" s="743"/>
      <c r="O345" s="746"/>
      <c r="Q345" s="741"/>
      <c r="R345" s="675"/>
      <c r="S345" s="675"/>
      <c r="T345" s="675"/>
      <c r="U345" s="678"/>
      <c r="V345" s="679"/>
      <c r="W345" s="675"/>
      <c r="X345" s="675"/>
      <c r="Y345" s="675"/>
      <c r="Z345" s="675"/>
    </row>
    <row r="346" hidden="1" outlineLevel="1">
      <c r="A346" s="675"/>
      <c r="B346" s="742"/>
      <c r="C346" s="743"/>
      <c r="D346" s="743"/>
      <c r="E346" s="743"/>
      <c r="F346" s="743"/>
      <c r="G346" s="744"/>
      <c r="H346" s="743"/>
      <c r="I346" s="743"/>
      <c r="J346" s="743"/>
      <c r="K346" s="743"/>
      <c r="L346" s="782"/>
      <c r="M346" s="782"/>
      <c r="N346" s="743"/>
      <c r="O346" s="746"/>
      <c r="Q346" s="741"/>
      <c r="R346" s="675"/>
      <c r="S346" s="675"/>
      <c r="T346" s="675"/>
      <c r="U346" s="678"/>
      <c r="V346" s="679"/>
      <c r="W346" s="675"/>
      <c r="X346" s="675"/>
      <c r="Y346" s="675"/>
      <c r="Z346" s="675"/>
    </row>
    <row r="347" hidden="1" outlineLevel="1">
      <c r="A347" s="675"/>
      <c r="B347" s="742"/>
      <c r="C347" s="743"/>
      <c r="D347" s="743"/>
      <c r="E347" s="743"/>
      <c r="F347" s="743"/>
      <c r="G347" s="744"/>
      <c r="H347" s="743"/>
      <c r="I347" s="743"/>
      <c r="J347" s="743"/>
      <c r="K347" s="743"/>
      <c r="L347" s="786"/>
      <c r="M347" s="782"/>
      <c r="N347" s="743"/>
      <c r="O347" s="746"/>
      <c r="Q347" s="741"/>
      <c r="R347" s="675"/>
      <c r="S347" s="675"/>
      <c r="T347" s="675"/>
      <c r="U347" s="678"/>
      <c r="V347" s="679"/>
      <c r="W347" s="675"/>
      <c r="X347" s="675"/>
      <c r="Y347" s="675"/>
      <c r="Z347" s="675"/>
    </row>
    <row r="348" hidden="1" outlineLevel="1">
      <c r="A348" s="675"/>
      <c r="B348" s="742"/>
      <c r="C348" s="743"/>
      <c r="D348" s="743"/>
      <c r="E348" s="743"/>
      <c r="F348" s="743"/>
      <c r="G348" s="744"/>
      <c r="H348" s="743"/>
      <c r="I348" s="743"/>
      <c r="J348" s="743"/>
      <c r="K348" s="743"/>
      <c r="L348" s="786"/>
      <c r="M348" s="782"/>
      <c r="N348" s="743"/>
      <c r="O348" s="746"/>
      <c r="Q348" s="741"/>
      <c r="R348" s="675"/>
      <c r="S348" s="675"/>
      <c r="T348" s="675"/>
      <c r="U348" s="678"/>
      <c r="V348" s="679"/>
      <c r="W348" s="675"/>
      <c r="X348" s="675"/>
      <c r="Y348" s="675"/>
      <c r="Z348" s="675"/>
    </row>
    <row r="349" hidden="1" outlineLevel="1">
      <c r="A349" s="675"/>
      <c r="B349" s="742"/>
      <c r="C349" s="743"/>
      <c r="D349" s="743"/>
      <c r="E349" s="743"/>
      <c r="F349" s="743"/>
      <c r="G349" s="744"/>
      <c r="H349" s="743"/>
      <c r="I349" s="743"/>
      <c r="J349" s="743"/>
      <c r="K349" s="743"/>
      <c r="L349" s="786"/>
      <c r="M349" s="782"/>
      <c r="N349" s="743"/>
      <c r="O349" s="746"/>
      <c r="Q349" s="741"/>
      <c r="R349" s="675"/>
      <c r="S349" s="675"/>
      <c r="T349" s="675"/>
      <c r="U349" s="678"/>
      <c r="V349" s="679"/>
      <c r="W349" s="675"/>
      <c r="X349" s="675"/>
      <c r="Y349" s="675"/>
      <c r="Z349" s="675"/>
    </row>
    <row r="350" hidden="1" outlineLevel="1">
      <c r="A350" s="675"/>
      <c r="B350" s="742"/>
      <c r="C350" s="743"/>
      <c r="D350" s="743"/>
      <c r="E350" s="743"/>
      <c r="F350" s="743"/>
      <c r="G350" s="744"/>
      <c r="H350" s="743"/>
      <c r="I350" s="743"/>
      <c r="J350" s="743"/>
      <c r="K350" s="743"/>
      <c r="L350" s="786"/>
      <c r="M350" s="782"/>
      <c r="N350" s="743"/>
      <c r="O350" s="746"/>
      <c r="Q350" s="741"/>
      <c r="R350" s="675"/>
      <c r="S350" s="675"/>
      <c r="T350" s="675"/>
      <c r="U350" s="678"/>
      <c r="V350" s="679"/>
      <c r="W350" s="675"/>
      <c r="X350" s="675"/>
      <c r="Y350" s="675"/>
      <c r="Z350" s="675"/>
    </row>
    <row r="351" hidden="1" outlineLevel="1">
      <c r="A351" s="675"/>
      <c r="B351" s="742"/>
      <c r="C351" s="743"/>
      <c r="D351" s="743"/>
      <c r="E351" s="743"/>
      <c r="F351" s="743"/>
      <c r="G351" s="744"/>
      <c r="H351" s="743"/>
      <c r="I351" s="743"/>
      <c r="J351" s="743"/>
      <c r="K351" s="743"/>
      <c r="L351" s="786"/>
      <c r="M351" s="782"/>
      <c r="N351" s="743"/>
      <c r="O351" s="746"/>
      <c r="Q351" s="741"/>
      <c r="R351" s="675"/>
      <c r="S351" s="675"/>
      <c r="T351" s="675"/>
      <c r="U351" s="678"/>
      <c r="V351" s="679"/>
      <c r="W351" s="675"/>
      <c r="X351" s="675"/>
      <c r="Y351" s="675"/>
      <c r="Z351" s="675"/>
    </row>
    <row r="352" hidden="1" outlineLevel="1">
      <c r="A352" s="675"/>
      <c r="B352" s="742"/>
      <c r="C352" s="743"/>
      <c r="D352" s="743"/>
      <c r="E352" s="743"/>
      <c r="F352" s="743"/>
      <c r="G352" s="744"/>
      <c r="H352" s="743"/>
      <c r="I352" s="743"/>
      <c r="J352" s="743"/>
      <c r="K352" s="743"/>
      <c r="L352" s="786"/>
      <c r="M352" s="782"/>
      <c r="N352" s="743"/>
      <c r="O352" s="746"/>
      <c r="Q352" s="741"/>
      <c r="R352" s="675"/>
      <c r="S352" s="675"/>
      <c r="T352" s="675"/>
      <c r="U352" s="678"/>
      <c r="V352" s="679"/>
      <c r="W352" s="675"/>
      <c r="X352" s="675"/>
      <c r="Y352" s="675"/>
      <c r="Z352" s="675"/>
    </row>
    <row r="353" hidden="1" outlineLevel="1">
      <c r="A353" s="675"/>
      <c r="B353" s="742"/>
      <c r="C353" s="743"/>
      <c r="D353" s="743"/>
      <c r="E353" s="743"/>
      <c r="F353" s="710"/>
      <c r="G353" s="711"/>
      <c r="H353" s="710"/>
      <c r="I353" s="710"/>
      <c r="J353" s="710"/>
      <c r="K353" s="710"/>
      <c r="L353" s="786"/>
      <c r="M353" s="782"/>
      <c r="N353" s="710"/>
      <c r="O353" s="713"/>
      <c r="P353" s="714"/>
      <c r="Q353" s="750"/>
      <c r="R353" s="675"/>
      <c r="S353" s="675"/>
      <c r="T353" s="675"/>
      <c r="U353" s="678"/>
      <c r="V353" s="679"/>
      <c r="W353" s="675"/>
      <c r="X353" s="675"/>
      <c r="Y353" s="675"/>
      <c r="Z353" s="675"/>
    </row>
    <row r="354" hidden="1" outlineLevel="1">
      <c r="A354" s="675"/>
      <c r="B354" s="801"/>
      <c r="C354" s="802"/>
      <c r="D354" s="802"/>
      <c r="E354" s="802"/>
      <c r="F354" s="803" t="s">
        <v>528</v>
      </c>
      <c r="G354" s="804"/>
      <c r="H354" s="805"/>
      <c r="I354" s="805"/>
      <c r="J354" s="805"/>
      <c r="K354" s="805"/>
      <c r="L354" s="804"/>
      <c r="M354" s="804"/>
      <c r="N354" s="804"/>
      <c r="O354" s="804"/>
      <c r="P354" s="804"/>
      <c r="Q354" s="806"/>
      <c r="R354" s="675"/>
      <c r="S354" s="675"/>
      <c r="T354" s="675"/>
      <c r="U354" s="678"/>
      <c r="V354" s="679"/>
      <c r="W354" s="675"/>
      <c r="X354" s="675"/>
      <c r="Y354" s="675"/>
      <c r="Z354" s="675"/>
    </row>
    <row r="355">
      <c r="A355" s="675"/>
      <c r="B355" s="677"/>
      <c r="C355" s="807"/>
      <c r="D355" s="808"/>
      <c r="E355" s="693"/>
      <c r="F355" s="809"/>
      <c r="G355" s="809"/>
      <c r="H355" s="809"/>
      <c r="I355" s="809"/>
      <c r="J355" s="809"/>
      <c r="K355" s="809"/>
      <c r="L355" s="809"/>
      <c r="M355" s="809"/>
      <c r="N355" s="809"/>
      <c r="O355" s="809"/>
      <c r="P355" s="809"/>
      <c r="Q355" s="809"/>
      <c r="R355" s="675"/>
      <c r="S355" s="675"/>
      <c r="T355" s="675"/>
      <c r="U355" s="678"/>
      <c r="V355" s="679"/>
      <c r="W355" s="675"/>
      <c r="X355" s="675"/>
      <c r="Y355" s="675"/>
      <c r="Z355" s="675"/>
    </row>
    <row r="356">
      <c r="A356" s="675"/>
      <c r="B356" s="677"/>
      <c r="C356" s="807"/>
      <c r="D356" s="808"/>
      <c r="E356" s="693"/>
      <c r="F356" s="809"/>
      <c r="G356" s="809"/>
      <c r="H356" s="809"/>
      <c r="I356" s="809"/>
      <c r="J356" s="809"/>
      <c r="K356" s="809"/>
      <c r="L356" s="809"/>
      <c r="M356" s="809"/>
      <c r="N356" s="809"/>
      <c r="O356" s="809"/>
      <c r="P356" s="809"/>
      <c r="Q356" s="809"/>
      <c r="R356" s="675"/>
      <c r="S356" s="675"/>
      <c r="T356" s="675"/>
      <c r="U356" s="678"/>
      <c r="V356" s="679"/>
      <c r="W356" s="675"/>
      <c r="X356" s="675"/>
      <c r="Y356" s="675"/>
      <c r="Z356" s="675"/>
    </row>
    <row r="357">
      <c r="A357" s="675"/>
      <c r="B357" s="677"/>
      <c r="C357" s="807"/>
      <c r="D357" s="808"/>
      <c r="E357" s="693"/>
      <c r="F357" s="809"/>
      <c r="G357" s="809"/>
      <c r="H357" s="809"/>
      <c r="I357" s="809"/>
      <c r="J357" s="809"/>
      <c r="K357" s="809"/>
      <c r="L357" s="809"/>
      <c r="M357" s="809"/>
      <c r="N357" s="809"/>
      <c r="O357" s="809"/>
      <c r="P357" s="809"/>
      <c r="Q357" s="809"/>
      <c r="R357" s="675"/>
      <c r="S357" s="675"/>
      <c r="T357" s="675"/>
      <c r="U357" s="678"/>
      <c r="V357" s="679"/>
      <c r="W357" s="675"/>
      <c r="X357" s="675"/>
      <c r="Y357" s="675"/>
      <c r="Z357" s="675"/>
    </row>
    <row r="358">
      <c r="A358" s="675"/>
      <c r="B358" s="677"/>
      <c r="C358" s="807"/>
      <c r="D358" s="808"/>
      <c r="E358" s="693"/>
      <c r="F358" s="809"/>
      <c r="G358" s="809"/>
      <c r="H358" s="809"/>
      <c r="I358" s="809"/>
      <c r="J358" s="809"/>
      <c r="K358" s="809"/>
      <c r="L358" s="809"/>
      <c r="M358" s="809"/>
      <c r="N358" s="809"/>
      <c r="O358" s="809"/>
      <c r="P358" s="809"/>
      <c r="Q358" s="809"/>
      <c r="R358" s="675"/>
      <c r="S358" s="675"/>
      <c r="T358" s="675"/>
      <c r="U358" s="678"/>
      <c r="V358" s="679"/>
      <c r="W358" s="675"/>
      <c r="X358" s="675"/>
      <c r="Y358" s="675"/>
      <c r="Z358" s="675"/>
    </row>
    <row r="359">
      <c r="A359" s="675"/>
      <c r="B359" s="677"/>
      <c r="C359" s="807"/>
      <c r="D359" s="808"/>
      <c r="E359" s="693"/>
      <c r="F359" s="809"/>
      <c r="G359" s="809"/>
      <c r="H359" s="809"/>
      <c r="I359" s="809"/>
      <c r="J359" s="809"/>
      <c r="K359" s="809"/>
      <c r="L359" s="809"/>
      <c r="M359" s="809"/>
      <c r="N359" s="809"/>
      <c r="O359" s="809"/>
      <c r="P359" s="809"/>
      <c r="Q359" s="809"/>
      <c r="R359" s="675"/>
      <c r="S359" s="675"/>
      <c r="T359" s="675"/>
      <c r="U359" s="678"/>
      <c r="V359" s="679"/>
      <c r="W359" s="675"/>
      <c r="X359" s="675"/>
      <c r="Y359" s="675"/>
      <c r="Z359" s="675"/>
    </row>
    <row r="360">
      <c r="A360" s="675"/>
      <c r="B360" s="677"/>
      <c r="C360" s="807"/>
      <c r="D360" s="808"/>
      <c r="E360" s="693"/>
      <c r="F360" s="809"/>
      <c r="G360" s="809"/>
      <c r="H360" s="809"/>
      <c r="I360" s="809"/>
      <c r="J360" s="809"/>
      <c r="K360" s="809"/>
      <c r="L360" s="809"/>
      <c r="M360" s="809"/>
      <c r="N360" s="809"/>
      <c r="O360" s="809"/>
      <c r="P360" s="809"/>
      <c r="Q360" s="809"/>
      <c r="R360" s="675"/>
      <c r="S360" s="675"/>
      <c r="T360" s="675"/>
      <c r="U360" s="678"/>
      <c r="V360" s="679"/>
      <c r="W360" s="675"/>
      <c r="X360" s="675"/>
      <c r="Y360" s="675"/>
      <c r="Z360" s="675"/>
    </row>
    <row r="361">
      <c r="A361" s="675"/>
      <c r="B361" s="677"/>
      <c r="C361" s="807"/>
      <c r="D361" s="808"/>
      <c r="E361" s="693"/>
      <c r="F361" s="809"/>
      <c r="G361" s="809"/>
      <c r="H361" s="809"/>
      <c r="I361" s="809"/>
      <c r="J361" s="809"/>
      <c r="K361" s="809"/>
      <c r="L361" s="809"/>
      <c r="M361" s="809"/>
      <c r="N361" s="809"/>
      <c r="O361" s="809"/>
      <c r="P361" s="809"/>
      <c r="Q361" s="809"/>
      <c r="R361" s="675"/>
      <c r="S361" s="675"/>
      <c r="T361" s="675"/>
      <c r="U361" s="678"/>
      <c r="V361" s="679"/>
      <c r="W361" s="675"/>
      <c r="X361" s="675"/>
      <c r="Y361" s="675"/>
      <c r="Z361" s="675"/>
    </row>
    <row r="362">
      <c r="A362" s="675"/>
      <c r="B362" s="677"/>
      <c r="C362" s="807"/>
      <c r="D362" s="808"/>
      <c r="E362" s="693"/>
      <c r="F362" s="809"/>
      <c r="G362" s="809"/>
      <c r="H362" s="809"/>
      <c r="I362" s="809"/>
      <c r="J362" s="809"/>
      <c r="K362" s="809"/>
      <c r="L362" s="809"/>
      <c r="M362" s="809"/>
      <c r="N362" s="809"/>
      <c r="O362" s="809"/>
      <c r="P362" s="809"/>
      <c r="Q362" s="809"/>
      <c r="R362" s="675"/>
      <c r="S362" s="675"/>
      <c r="T362" s="675"/>
      <c r="U362" s="678"/>
      <c r="V362" s="679"/>
      <c r="W362" s="675"/>
      <c r="X362" s="675"/>
      <c r="Y362" s="675"/>
      <c r="Z362" s="675"/>
    </row>
    <row r="363">
      <c r="A363" s="675"/>
      <c r="B363" s="677"/>
      <c r="C363" s="807"/>
      <c r="D363" s="808"/>
      <c r="E363" s="693"/>
      <c r="F363" s="809"/>
      <c r="G363" s="809"/>
      <c r="H363" s="809"/>
      <c r="I363" s="809"/>
      <c r="J363" s="809"/>
      <c r="K363" s="809"/>
      <c r="L363" s="809"/>
      <c r="M363" s="809"/>
      <c r="N363" s="809"/>
      <c r="O363" s="809"/>
      <c r="P363" s="809"/>
      <c r="Q363" s="809"/>
      <c r="R363" s="675"/>
      <c r="S363" s="675"/>
      <c r="T363" s="675"/>
      <c r="U363" s="678"/>
      <c r="V363" s="679"/>
      <c r="W363" s="675"/>
      <c r="X363" s="675"/>
      <c r="Y363" s="675"/>
      <c r="Z363" s="675"/>
    </row>
    <row r="364">
      <c r="A364" s="675"/>
      <c r="B364" s="677"/>
      <c r="C364" s="807"/>
      <c r="D364" s="808"/>
      <c r="E364" s="693"/>
      <c r="F364" s="809"/>
      <c r="G364" s="809"/>
      <c r="H364" s="809"/>
      <c r="I364" s="809"/>
      <c r="J364" s="809"/>
      <c r="K364" s="809"/>
      <c r="L364" s="809"/>
      <c r="M364" s="809"/>
      <c r="N364" s="809"/>
      <c r="O364" s="809"/>
      <c r="P364" s="809"/>
      <c r="Q364" s="809"/>
      <c r="R364" s="675"/>
      <c r="S364" s="675"/>
      <c r="T364" s="675"/>
      <c r="U364" s="678"/>
      <c r="V364" s="679"/>
      <c r="W364" s="675"/>
      <c r="X364" s="675"/>
      <c r="Y364" s="675"/>
      <c r="Z364" s="675"/>
    </row>
    <row r="365">
      <c r="A365" s="675"/>
      <c r="B365" s="677"/>
      <c r="C365" s="807"/>
      <c r="D365" s="808"/>
      <c r="E365" s="693"/>
      <c r="F365" s="809"/>
      <c r="G365" s="809"/>
      <c r="H365" s="809"/>
      <c r="I365" s="809"/>
      <c r="J365" s="809"/>
      <c r="K365" s="809"/>
      <c r="L365" s="809"/>
      <c r="M365" s="809"/>
      <c r="N365" s="809"/>
      <c r="O365" s="809"/>
      <c r="P365" s="809"/>
      <c r="Q365" s="809"/>
      <c r="R365" s="675"/>
      <c r="S365" s="675"/>
      <c r="T365" s="675"/>
      <c r="U365" s="678"/>
      <c r="V365" s="679"/>
      <c r="W365" s="675"/>
      <c r="X365" s="675"/>
      <c r="Y365" s="675"/>
      <c r="Z365" s="675"/>
    </row>
    <row r="366">
      <c r="A366" s="675"/>
      <c r="B366" s="677"/>
      <c r="C366" s="807"/>
      <c r="D366" s="808"/>
      <c r="E366" s="693"/>
      <c r="F366" s="809"/>
      <c r="G366" s="809"/>
      <c r="H366" s="809"/>
      <c r="I366" s="809"/>
      <c r="J366" s="809"/>
      <c r="K366" s="809"/>
      <c r="L366" s="809"/>
      <c r="M366" s="809"/>
      <c r="N366" s="809"/>
      <c r="O366" s="809"/>
      <c r="P366" s="809"/>
      <c r="Q366" s="809"/>
      <c r="R366" s="675"/>
      <c r="S366" s="675"/>
      <c r="T366" s="675"/>
      <c r="U366" s="678"/>
      <c r="V366" s="679"/>
      <c r="W366" s="675"/>
      <c r="X366" s="675"/>
      <c r="Y366" s="675"/>
      <c r="Z366" s="675"/>
    </row>
    <row r="367">
      <c r="A367" s="675"/>
      <c r="B367" s="677"/>
      <c r="C367" s="807"/>
      <c r="D367" s="808"/>
      <c r="E367" s="693"/>
      <c r="F367" s="809"/>
      <c r="G367" s="809"/>
      <c r="H367" s="809"/>
      <c r="I367" s="809"/>
      <c r="J367" s="809"/>
      <c r="K367" s="809"/>
      <c r="L367" s="809"/>
      <c r="M367" s="809"/>
      <c r="N367" s="809"/>
      <c r="O367" s="809"/>
      <c r="P367" s="809"/>
      <c r="Q367" s="809"/>
      <c r="R367" s="675"/>
      <c r="S367" s="675"/>
      <c r="T367" s="675"/>
      <c r="U367" s="678"/>
      <c r="V367" s="679"/>
      <c r="W367" s="675"/>
      <c r="X367" s="675"/>
      <c r="Y367" s="675"/>
      <c r="Z367" s="675"/>
    </row>
    <row r="368">
      <c r="A368" s="675"/>
      <c r="B368" s="677"/>
      <c r="C368" s="807"/>
      <c r="D368" s="808"/>
      <c r="E368" s="693"/>
      <c r="F368" s="809"/>
      <c r="G368" s="809"/>
      <c r="H368" s="809"/>
      <c r="I368" s="809"/>
      <c r="J368" s="809"/>
      <c r="K368" s="809"/>
      <c r="L368" s="809"/>
      <c r="M368" s="809"/>
      <c r="N368" s="809"/>
      <c r="O368" s="809"/>
      <c r="P368" s="809"/>
      <c r="Q368" s="809"/>
      <c r="R368" s="675"/>
      <c r="S368" s="675"/>
      <c r="T368" s="675"/>
      <c r="U368" s="678"/>
      <c r="V368" s="679"/>
      <c r="W368" s="675"/>
      <c r="X368" s="675"/>
      <c r="Y368" s="675"/>
      <c r="Z368" s="675"/>
    </row>
    <row r="369">
      <c r="A369" s="675"/>
      <c r="B369" s="677"/>
      <c r="C369" s="807"/>
      <c r="D369" s="808"/>
      <c r="E369" s="693"/>
      <c r="F369" s="809"/>
      <c r="G369" s="809"/>
      <c r="H369" s="809"/>
      <c r="I369" s="809"/>
      <c r="J369" s="809"/>
      <c r="K369" s="809"/>
      <c r="L369" s="809"/>
      <c r="M369" s="809"/>
      <c r="N369" s="809"/>
      <c r="O369" s="809"/>
      <c r="P369" s="809"/>
      <c r="Q369" s="809"/>
      <c r="R369" s="675"/>
      <c r="S369" s="675"/>
      <c r="T369" s="675"/>
      <c r="U369" s="678"/>
      <c r="V369" s="679"/>
      <c r="W369" s="675"/>
      <c r="X369" s="675"/>
      <c r="Y369" s="675"/>
      <c r="Z369" s="675"/>
    </row>
    <row r="370">
      <c r="A370" s="675"/>
      <c r="B370" s="677"/>
      <c r="C370" s="807"/>
      <c r="D370" s="808"/>
      <c r="E370" s="693"/>
      <c r="F370" s="809"/>
      <c r="G370" s="809"/>
      <c r="H370" s="809"/>
      <c r="I370" s="809"/>
      <c r="J370" s="809"/>
      <c r="K370" s="809"/>
      <c r="L370" s="809"/>
      <c r="M370" s="809"/>
      <c r="N370" s="809"/>
      <c r="O370" s="809"/>
      <c r="P370" s="809"/>
      <c r="Q370" s="809"/>
      <c r="R370" s="675"/>
      <c r="S370" s="675"/>
      <c r="T370" s="675"/>
      <c r="U370" s="678"/>
      <c r="V370" s="679"/>
      <c r="W370" s="675"/>
      <c r="X370" s="675"/>
      <c r="Y370" s="675"/>
      <c r="Z370" s="675"/>
    </row>
    <row r="371">
      <c r="A371" s="675"/>
      <c r="B371" s="677"/>
      <c r="C371" s="807"/>
      <c r="D371" s="808"/>
      <c r="E371" s="693"/>
      <c r="F371" s="809"/>
      <c r="G371" s="809"/>
      <c r="H371" s="809"/>
      <c r="I371" s="809"/>
      <c r="J371" s="809"/>
      <c r="K371" s="809"/>
      <c r="L371" s="809"/>
      <c r="M371" s="809"/>
      <c r="N371" s="809"/>
      <c r="O371" s="809"/>
      <c r="P371" s="809"/>
      <c r="Q371" s="809"/>
      <c r="R371" s="675"/>
      <c r="S371" s="675"/>
      <c r="T371" s="675"/>
      <c r="U371" s="678"/>
      <c r="V371" s="679"/>
      <c r="W371" s="675"/>
      <c r="X371" s="675"/>
      <c r="Y371" s="675"/>
      <c r="Z371" s="675"/>
    </row>
    <row r="372">
      <c r="A372" s="675"/>
      <c r="B372" s="677"/>
      <c r="C372" s="807"/>
      <c r="D372" s="808"/>
      <c r="E372" s="693"/>
      <c r="F372" s="809"/>
      <c r="G372" s="809"/>
      <c r="H372" s="809"/>
      <c r="I372" s="809"/>
      <c r="J372" s="809"/>
      <c r="K372" s="809"/>
      <c r="L372" s="809"/>
      <c r="M372" s="809"/>
      <c r="N372" s="809"/>
      <c r="O372" s="809"/>
      <c r="P372" s="809"/>
      <c r="Q372" s="809"/>
      <c r="R372" s="675"/>
      <c r="S372" s="675"/>
      <c r="T372" s="675"/>
      <c r="U372" s="678"/>
      <c r="V372" s="679"/>
      <c r="W372" s="675"/>
      <c r="X372" s="675"/>
      <c r="Y372" s="675"/>
      <c r="Z372" s="675"/>
    </row>
    <row r="373">
      <c r="A373" s="675"/>
      <c r="B373" s="677"/>
      <c r="C373" s="807"/>
      <c r="D373" s="808"/>
      <c r="E373" s="693"/>
      <c r="F373" s="809"/>
      <c r="G373" s="809"/>
      <c r="H373" s="809"/>
      <c r="I373" s="809"/>
      <c r="J373" s="809"/>
      <c r="K373" s="809"/>
      <c r="L373" s="809"/>
      <c r="M373" s="809"/>
      <c r="N373" s="809"/>
      <c r="O373" s="809"/>
      <c r="P373" s="809"/>
      <c r="Q373" s="809"/>
      <c r="R373" s="675"/>
      <c r="S373" s="675"/>
      <c r="T373" s="675"/>
      <c r="U373" s="678"/>
      <c r="V373" s="679"/>
      <c r="W373" s="675"/>
      <c r="X373" s="675"/>
      <c r="Y373" s="675"/>
      <c r="Z373" s="675"/>
    </row>
    <row r="374">
      <c r="A374" s="675"/>
      <c r="B374" s="677"/>
      <c r="C374" s="807"/>
      <c r="D374" s="808"/>
      <c r="E374" s="693"/>
      <c r="F374" s="809"/>
      <c r="G374" s="809"/>
      <c r="H374" s="809"/>
      <c r="I374" s="809"/>
      <c r="J374" s="809"/>
      <c r="K374" s="809"/>
      <c r="L374" s="809"/>
      <c r="M374" s="809"/>
      <c r="N374" s="809"/>
      <c r="O374" s="809"/>
      <c r="P374" s="809"/>
      <c r="Q374" s="809"/>
      <c r="R374" s="675"/>
      <c r="S374" s="675"/>
      <c r="T374" s="675"/>
      <c r="U374" s="678"/>
      <c r="V374" s="679"/>
      <c r="W374" s="675"/>
      <c r="X374" s="675"/>
      <c r="Y374" s="675"/>
      <c r="Z374" s="675"/>
    </row>
    <row r="375">
      <c r="A375" s="675"/>
      <c r="B375" s="677"/>
      <c r="C375" s="807"/>
      <c r="D375" s="808"/>
      <c r="E375" s="693"/>
      <c r="F375" s="809"/>
      <c r="G375" s="809"/>
      <c r="H375" s="809"/>
      <c r="I375" s="809"/>
      <c r="J375" s="809"/>
      <c r="K375" s="809"/>
      <c r="L375" s="809"/>
      <c r="M375" s="809"/>
      <c r="N375" s="809"/>
      <c r="O375" s="809"/>
      <c r="P375" s="809"/>
      <c r="Q375" s="809"/>
      <c r="R375" s="675"/>
      <c r="S375" s="675"/>
      <c r="T375" s="675"/>
      <c r="U375" s="678"/>
      <c r="V375" s="679"/>
      <c r="W375" s="675"/>
      <c r="X375" s="675"/>
      <c r="Y375" s="675"/>
      <c r="Z375" s="675"/>
    </row>
    <row r="376">
      <c r="A376" s="675"/>
      <c r="B376" s="677"/>
      <c r="C376" s="807"/>
      <c r="D376" s="808"/>
      <c r="E376" s="693"/>
      <c r="F376" s="809"/>
      <c r="G376" s="809"/>
      <c r="H376" s="809"/>
      <c r="I376" s="809"/>
      <c r="J376" s="809"/>
      <c r="K376" s="809"/>
      <c r="L376" s="809"/>
      <c r="M376" s="809"/>
      <c r="N376" s="809"/>
      <c r="O376" s="809"/>
      <c r="P376" s="809"/>
      <c r="Q376" s="809"/>
      <c r="R376" s="675"/>
      <c r="S376" s="675"/>
      <c r="T376" s="675"/>
      <c r="U376" s="678"/>
      <c r="V376" s="679"/>
      <c r="W376" s="675"/>
      <c r="X376" s="675"/>
      <c r="Y376" s="675"/>
      <c r="Z376" s="675"/>
    </row>
    <row r="377">
      <c r="A377" s="675"/>
      <c r="B377" s="677"/>
      <c r="C377" s="807"/>
      <c r="D377" s="808"/>
      <c r="E377" s="693"/>
      <c r="F377" s="809"/>
      <c r="G377" s="809"/>
      <c r="H377" s="809"/>
      <c r="I377" s="809"/>
      <c r="J377" s="809"/>
      <c r="K377" s="809"/>
      <c r="L377" s="809"/>
      <c r="M377" s="809"/>
      <c r="N377" s="809"/>
      <c r="O377" s="809"/>
      <c r="P377" s="809"/>
      <c r="Q377" s="809"/>
      <c r="R377" s="675"/>
      <c r="S377" s="675"/>
      <c r="T377" s="675"/>
      <c r="U377" s="678"/>
      <c r="V377" s="679"/>
      <c r="W377" s="675"/>
      <c r="X377" s="675"/>
      <c r="Y377" s="675"/>
      <c r="Z377" s="675"/>
    </row>
    <row r="378">
      <c r="A378" s="675"/>
      <c r="B378" s="677"/>
      <c r="C378" s="807"/>
      <c r="D378" s="808"/>
      <c r="E378" s="693"/>
      <c r="F378" s="809"/>
      <c r="G378" s="809"/>
      <c r="H378" s="809"/>
      <c r="I378" s="809"/>
      <c r="J378" s="809"/>
      <c r="K378" s="809"/>
      <c r="L378" s="809"/>
      <c r="M378" s="809"/>
      <c r="N378" s="809"/>
      <c r="O378" s="809"/>
      <c r="P378" s="809"/>
      <c r="Q378" s="809"/>
      <c r="R378" s="675"/>
      <c r="S378" s="675"/>
      <c r="T378" s="675"/>
      <c r="U378" s="678"/>
      <c r="V378" s="679"/>
      <c r="W378" s="675"/>
      <c r="X378" s="675"/>
      <c r="Y378" s="675"/>
      <c r="Z378" s="675"/>
    </row>
    <row r="379">
      <c r="A379" s="675"/>
      <c r="B379" s="677"/>
      <c r="C379" s="807"/>
      <c r="D379" s="808"/>
      <c r="E379" s="693"/>
      <c r="F379" s="809"/>
      <c r="G379" s="809"/>
      <c r="H379" s="809"/>
      <c r="I379" s="809"/>
      <c r="J379" s="809"/>
      <c r="K379" s="809"/>
      <c r="L379" s="809"/>
      <c r="M379" s="809"/>
      <c r="N379" s="809"/>
      <c r="O379" s="809"/>
      <c r="P379" s="809"/>
      <c r="Q379" s="809"/>
      <c r="R379" s="675"/>
      <c r="S379" s="675"/>
      <c r="T379" s="675"/>
      <c r="U379" s="678"/>
      <c r="V379" s="679"/>
      <c r="W379" s="675"/>
      <c r="X379" s="675"/>
      <c r="Y379" s="675"/>
      <c r="Z379" s="675"/>
    </row>
    <row r="380">
      <c r="A380" s="675"/>
      <c r="B380" s="677"/>
      <c r="C380" s="807"/>
      <c r="D380" s="808"/>
      <c r="E380" s="693"/>
      <c r="F380" s="809"/>
      <c r="G380" s="809"/>
      <c r="H380" s="809"/>
      <c r="I380" s="809"/>
      <c r="J380" s="809"/>
      <c r="K380" s="809"/>
      <c r="L380" s="809"/>
      <c r="M380" s="809"/>
      <c r="N380" s="809"/>
      <c r="O380" s="809"/>
      <c r="P380" s="809"/>
      <c r="Q380" s="809"/>
      <c r="R380" s="675"/>
      <c r="S380" s="675"/>
      <c r="T380" s="675"/>
      <c r="U380" s="678"/>
      <c r="V380" s="679"/>
      <c r="W380" s="675"/>
      <c r="X380" s="675"/>
      <c r="Y380" s="675"/>
      <c r="Z380" s="675"/>
    </row>
    <row r="381">
      <c r="A381" s="675"/>
      <c r="B381" s="677"/>
      <c r="C381" s="807"/>
      <c r="D381" s="808"/>
      <c r="E381" s="693"/>
      <c r="F381" s="809"/>
      <c r="G381" s="809"/>
      <c r="H381" s="809"/>
      <c r="I381" s="809"/>
      <c r="J381" s="809"/>
      <c r="K381" s="809"/>
      <c r="L381" s="809"/>
      <c r="M381" s="809"/>
      <c r="N381" s="809"/>
      <c r="O381" s="809"/>
      <c r="P381" s="809"/>
      <c r="Q381" s="809"/>
      <c r="R381" s="675"/>
      <c r="S381" s="675"/>
      <c r="T381" s="675"/>
      <c r="U381" s="678"/>
      <c r="V381" s="679"/>
      <c r="W381" s="675"/>
      <c r="X381" s="675"/>
      <c r="Y381" s="675"/>
      <c r="Z381" s="675"/>
    </row>
    <row r="382">
      <c r="A382" s="675"/>
      <c r="B382" s="677"/>
      <c r="C382" s="807"/>
      <c r="D382" s="808"/>
      <c r="E382" s="693"/>
      <c r="F382" s="809"/>
      <c r="G382" s="809"/>
      <c r="H382" s="809"/>
      <c r="I382" s="809"/>
      <c r="J382" s="809"/>
      <c r="K382" s="809"/>
      <c r="L382" s="809"/>
      <c r="M382" s="809"/>
      <c r="N382" s="809"/>
      <c r="O382" s="809"/>
      <c r="P382" s="809"/>
      <c r="Q382" s="809"/>
      <c r="R382" s="675"/>
      <c r="S382" s="675"/>
      <c r="T382" s="675"/>
      <c r="U382" s="678"/>
      <c r="V382" s="679"/>
      <c r="W382" s="675"/>
      <c r="X382" s="675"/>
      <c r="Y382" s="675"/>
      <c r="Z382" s="675"/>
    </row>
    <row r="383">
      <c r="A383" s="675"/>
      <c r="B383" s="677"/>
      <c r="C383" s="807"/>
      <c r="D383" s="808"/>
      <c r="E383" s="693"/>
      <c r="F383" s="809"/>
      <c r="G383" s="809"/>
      <c r="H383" s="809"/>
      <c r="I383" s="809"/>
      <c r="J383" s="809"/>
      <c r="K383" s="809"/>
      <c r="L383" s="809"/>
      <c r="M383" s="809"/>
      <c r="N383" s="809"/>
      <c r="O383" s="809"/>
      <c r="P383" s="809"/>
      <c r="Q383" s="809"/>
      <c r="R383" s="675"/>
      <c r="S383" s="675"/>
      <c r="T383" s="675"/>
      <c r="U383" s="678"/>
      <c r="V383" s="679"/>
      <c r="W383" s="675"/>
      <c r="X383" s="675"/>
      <c r="Y383" s="675"/>
      <c r="Z383" s="675"/>
    </row>
    <row r="384">
      <c r="A384" s="675"/>
      <c r="B384" s="677"/>
      <c r="C384" s="807"/>
      <c r="D384" s="808"/>
      <c r="E384" s="693"/>
      <c r="F384" s="809"/>
      <c r="G384" s="809"/>
      <c r="H384" s="809"/>
      <c r="I384" s="809"/>
      <c r="J384" s="809"/>
      <c r="K384" s="809"/>
      <c r="L384" s="809"/>
      <c r="M384" s="809"/>
      <c r="N384" s="809"/>
      <c r="O384" s="809"/>
      <c r="P384" s="809"/>
      <c r="Q384" s="809"/>
      <c r="R384" s="675"/>
      <c r="S384" s="675"/>
      <c r="T384" s="675"/>
      <c r="U384" s="678"/>
      <c r="V384" s="679"/>
      <c r="W384" s="675"/>
      <c r="X384" s="675"/>
      <c r="Y384" s="675"/>
      <c r="Z384" s="675"/>
    </row>
    <row r="385">
      <c r="A385" s="675"/>
      <c r="B385" s="677"/>
      <c r="C385" s="807"/>
      <c r="D385" s="808"/>
      <c r="E385" s="693"/>
      <c r="F385" s="809"/>
      <c r="G385" s="809"/>
      <c r="H385" s="809"/>
      <c r="I385" s="809"/>
      <c r="J385" s="809"/>
      <c r="K385" s="809"/>
      <c r="L385" s="809"/>
      <c r="M385" s="809"/>
      <c r="N385" s="809"/>
      <c r="O385" s="809"/>
      <c r="P385" s="809"/>
      <c r="Q385" s="809"/>
      <c r="R385" s="675"/>
      <c r="S385" s="675"/>
      <c r="T385" s="675"/>
      <c r="U385" s="678"/>
      <c r="V385" s="679"/>
      <c r="W385" s="675"/>
      <c r="X385" s="675"/>
      <c r="Y385" s="675"/>
      <c r="Z385" s="675"/>
    </row>
    <row r="386">
      <c r="A386" s="675"/>
      <c r="B386" s="677"/>
      <c r="C386" s="807"/>
      <c r="D386" s="808"/>
      <c r="E386" s="693"/>
      <c r="F386" s="809"/>
      <c r="G386" s="809"/>
      <c r="H386" s="809"/>
      <c r="I386" s="809"/>
      <c r="J386" s="809"/>
      <c r="K386" s="809"/>
      <c r="L386" s="809"/>
      <c r="M386" s="809"/>
      <c r="N386" s="809"/>
      <c r="O386" s="809"/>
      <c r="P386" s="809"/>
      <c r="Q386" s="809"/>
      <c r="R386" s="675"/>
      <c r="S386" s="675"/>
      <c r="T386" s="675"/>
      <c r="U386" s="678"/>
      <c r="V386" s="679"/>
      <c r="W386" s="675"/>
      <c r="X386" s="675"/>
      <c r="Y386" s="675"/>
      <c r="Z386" s="675"/>
    </row>
    <row r="387">
      <c r="A387" s="675"/>
      <c r="B387" s="677"/>
      <c r="C387" s="807"/>
      <c r="D387" s="808"/>
      <c r="E387" s="693"/>
      <c r="F387" s="809"/>
      <c r="G387" s="809"/>
      <c r="H387" s="809"/>
      <c r="I387" s="809"/>
      <c r="J387" s="809"/>
      <c r="K387" s="809"/>
      <c r="L387" s="809"/>
      <c r="M387" s="809"/>
      <c r="N387" s="809"/>
      <c r="O387" s="809"/>
      <c r="P387" s="809"/>
      <c r="Q387" s="809"/>
      <c r="R387" s="675"/>
      <c r="S387" s="675"/>
      <c r="T387" s="675"/>
      <c r="U387" s="678"/>
      <c r="V387" s="679"/>
      <c r="W387" s="675"/>
      <c r="X387" s="675"/>
      <c r="Y387" s="675"/>
      <c r="Z387" s="675"/>
    </row>
    <row r="388">
      <c r="A388" s="675"/>
      <c r="B388" s="677"/>
      <c r="C388" s="807"/>
      <c r="D388" s="808"/>
      <c r="E388" s="693"/>
      <c r="F388" s="809"/>
      <c r="G388" s="809"/>
      <c r="H388" s="809"/>
      <c r="I388" s="809"/>
      <c r="J388" s="809"/>
      <c r="K388" s="809"/>
      <c r="L388" s="809"/>
      <c r="M388" s="809"/>
      <c r="N388" s="809"/>
      <c r="O388" s="809"/>
      <c r="P388" s="809"/>
      <c r="Q388" s="809"/>
      <c r="R388" s="675"/>
      <c r="S388" s="675"/>
      <c r="T388" s="675"/>
      <c r="U388" s="678"/>
      <c r="V388" s="679"/>
      <c r="W388" s="675"/>
      <c r="X388" s="675"/>
      <c r="Y388" s="675"/>
      <c r="Z388" s="675"/>
    </row>
    <row r="389">
      <c r="A389" s="675"/>
      <c r="B389" s="677"/>
      <c r="C389" s="807"/>
      <c r="D389" s="808"/>
      <c r="E389" s="693"/>
      <c r="F389" s="809"/>
      <c r="G389" s="809"/>
      <c r="H389" s="809"/>
      <c r="I389" s="809"/>
      <c r="J389" s="809"/>
      <c r="K389" s="809"/>
      <c r="L389" s="809"/>
      <c r="M389" s="809"/>
      <c r="N389" s="809"/>
      <c r="O389" s="809"/>
      <c r="P389" s="809"/>
      <c r="Q389" s="809"/>
      <c r="R389" s="675"/>
      <c r="S389" s="675"/>
      <c r="T389" s="675"/>
      <c r="U389" s="678"/>
      <c r="V389" s="679"/>
      <c r="W389" s="675"/>
      <c r="X389" s="675"/>
      <c r="Y389" s="675"/>
      <c r="Z389" s="675"/>
    </row>
    <row r="390">
      <c r="A390" s="675"/>
      <c r="B390" s="677"/>
      <c r="C390" s="807"/>
      <c r="D390" s="808"/>
      <c r="E390" s="693"/>
      <c r="F390" s="809"/>
      <c r="G390" s="809"/>
      <c r="H390" s="809"/>
      <c r="I390" s="809"/>
      <c r="J390" s="809"/>
      <c r="K390" s="809"/>
      <c r="L390" s="809"/>
      <c r="M390" s="809"/>
      <c r="N390" s="809"/>
      <c r="O390" s="809"/>
      <c r="P390" s="809"/>
      <c r="Q390" s="809"/>
      <c r="R390" s="675"/>
      <c r="S390" s="675"/>
      <c r="T390" s="675"/>
      <c r="U390" s="678"/>
      <c r="V390" s="679"/>
      <c r="W390" s="675"/>
      <c r="X390" s="675"/>
      <c r="Y390" s="675"/>
      <c r="Z390" s="675"/>
    </row>
    <row r="391">
      <c r="A391" s="675"/>
      <c r="B391" s="677"/>
      <c r="C391" s="807"/>
      <c r="D391" s="808"/>
      <c r="E391" s="693"/>
      <c r="F391" s="809"/>
      <c r="G391" s="809"/>
      <c r="H391" s="809"/>
      <c r="I391" s="809"/>
      <c r="J391" s="809"/>
      <c r="K391" s="809"/>
      <c r="L391" s="809"/>
      <c r="M391" s="809"/>
      <c r="N391" s="809"/>
      <c r="O391" s="809"/>
      <c r="P391" s="809"/>
      <c r="Q391" s="809"/>
      <c r="R391" s="675"/>
      <c r="S391" s="675"/>
      <c r="T391" s="675"/>
      <c r="U391" s="678"/>
      <c r="V391" s="679"/>
      <c r="W391" s="675"/>
      <c r="X391" s="675"/>
      <c r="Y391" s="675"/>
      <c r="Z391" s="675"/>
    </row>
    <row r="392">
      <c r="A392" s="675"/>
      <c r="B392" s="677"/>
      <c r="C392" s="807"/>
      <c r="D392" s="808"/>
      <c r="E392" s="693"/>
      <c r="F392" s="809"/>
      <c r="G392" s="809"/>
      <c r="H392" s="809"/>
      <c r="I392" s="809"/>
      <c r="J392" s="809"/>
      <c r="K392" s="809"/>
      <c r="L392" s="809"/>
      <c r="M392" s="809"/>
      <c r="N392" s="809"/>
      <c r="O392" s="809"/>
      <c r="P392" s="809"/>
      <c r="Q392" s="809"/>
      <c r="R392" s="675"/>
      <c r="S392" s="675"/>
      <c r="T392" s="675"/>
      <c r="U392" s="678"/>
      <c r="V392" s="679"/>
      <c r="W392" s="675"/>
      <c r="X392" s="675"/>
      <c r="Y392" s="675"/>
      <c r="Z392" s="675"/>
    </row>
    <row r="393">
      <c r="A393" s="675"/>
      <c r="B393" s="677"/>
      <c r="C393" s="807"/>
      <c r="D393" s="808"/>
      <c r="E393" s="693"/>
      <c r="F393" s="809"/>
      <c r="G393" s="809"/>
      <c r="H393" s="809"/>
      <c r="I393" s="809"/>
      <c r="J393" s="809"/>
      <c r="K393" s="809"/>
      <c r="L393" s="809"/>
      <c r="M393" s="809"/>
      <c r="N393" s="809"/>
      <c r="O393" s="809"/>
      <c r="P393" s="809"/>
      <c r="Q393" s="809"/>
      <c r="R393" s="675"/>
      <c r="S393" s="675"/>
      <c r="T393" s="675"/>
      <c r="U393" s="678"/>
      <c r="V393" s="679"/>
      <c r="W393" s="675"/>
      <c r="X393" s="675"/>
      <c r="Y393" s="675"/>
      <c r="Z393" s="675"/>
    </row>
    <row r="394">
      <c r="A394" s="675"/>
      <c r="B394" s="677"/>
      <c r="C394" s="807"/>
      <c r="D394" s="808"/>
      <c r="E394" s="693"/>
      <c r="F394" s="809"/>
      <c r="G394" s="809"/>
      <c r="H394" s="809"/>
      <c r="I394" s="809"/>
      <c r="J394" s="809"/>
      <c r="K394" s="809"/>
      <c r="L394" s="809"/>
      <c r="M394" s="809"/>
      <c r="N394" s="809"/>
      <c r="O394" s="809"/>
      <c r="P394" s="809"/>
      <c r="Q394" s="809"/>
      <c r="R394" s="675"/>
      <c r="S394" s="675"/>
      <c r="T394" s="675"/>
      <c r="U394" s="678"/>
      <c r="V394" s="679"/>
      <c r="W394" s="675"/>
      <c r="X394" s="675"/>
      <c r="Y394" s="675"/>
      <c r="Z394" s="675"/>
    </row>
    <row r="395">
      <c r="A395" s="675"/>
      <c r="B395" s="677"/>
      <c r="C395" s="807"/>
      <c r="D395" s="808"/>
      <c r="E395" s="693"/>
      <c r="F395" s="809"/>
      <c r="G395" s="809"/>
      <c r="H395" s="809"/>
      <c r="I395" s="809"/>
      <c r="J395" s="809"/>
      <c r="K395" s="809"/>
      <c r="L395" s="809"/>
      <c r="M395" s="809"/>
      <c r="N395" s="809"/>
      <c r="O395" s="809"/>
      <c r="P395" s="809"/>
      <c r="Q395" s="809"/>
      <c r="R395" s="675"/>
      <c r="S395" s="675"/>
      <c r="T395" s="675"/>
      <c r="U395" s="678"/>
      <c r="V395" s="679"/>
      <c r="W395" s="675"/>
      <c r="X395" s="675"/>
      <c r="Y395" s="675"/>
      <c r="Z395" s="675"/>
    </row>
    <row r="396">
      <c r="A396" s="675"/>
      <c r="B396" s="677"/>
      <c r="C396" s="807"/>
      <c r="D396" s="808"/>
      <c r="E396" s="693"/>
      <c r="F396" s="809"/>
      <c r="G396" s="809"/>
      <c r="H396" s="809"/>
      <c r="I396" s="809"/>
      <c r="J396" s="809"/>
      <c r="K396" s="809"/>
      <c r="L396" s="809"/>
      <c r="M396" s="809"/>
      <c r="N396" s="809"/>
      <c r="O396" s="809"/>
      <c r="P396" s="809"/>
      <c r="Q396" s="809"/>
      <c r="R396" s="675"/>
      <c r="S396" s="675"/>
      <c r="T396" s="675"/>
      <c r="U396" s="678"/>
      <c r="V396" s="679"/>
      <c r="W396" s="675"/>
      <c r="X396" s="675"/>
      <c r="Y396" s="675"/>
      <c r="Z396" s="675"/>
    </row>
    <row r="397">
      <c r="A397" s="675"/>
      <c r="B397" s="677"/>
      <c r="C397" s="807"/>
      <c r="D397" s="808"/>
      <c r="E397" s="693"/>
      <c r="F397" s="809"/>
      <c r="G397" s="809"/>
      <c r="H397" s="809"/>
      <c r="I397" s="809"/>
      <c r="J397" s="809"/>
      <c r="K397" s="809"/>
      <c r="L397" s="809"/>
      <c r="M397" s="809"/>
      <c r="N397" s="809"/>
      <c r="O397" s="809"/>
      <c r="P397" s="809"/>
      <c r="Q397" s="809"/>
      <c r="R397" s="675"/>
      <c r="S397" s="675"/>
      <c r="T397" s="675"/>
      <c r="U397" s="678"/>
      <c r="V397" s="679"/>
      <c r="W397" s="675"/>
      <c r="X397" s="675"/>
      <c r="Y397" s="675"/>
      <c r="Z397" s="675"/>
    </row>
    <row r="398">
      <c r="A398" s="675"/>
      <c r="B398" s="677"/>
      <c r="C398" s="807"/>
      <c r="D398" s="808"/>
      <c r="E398" s="693"/>
      <c r="F398" s="809"/>
      <c r="G398" s="809"/>
      <c r="H398" s="809"/>
      <c r="I398" s="809"/>
      <c r="J398" s="809"/>
      <c r="K398" s="809"/>
      <c r="L398" s="809"/>
      <c r="M398" s="809"/>
      <c r="N398" s="809"/>
      <c r="O398" s="809"/>
      <c r="P398" s="809"/>
      <c r="Q398" s="809"/>
      <c r="R398" s="675"/>
      <c r="S398" s="675"/>
      <c r="T398" s="675"/>
      <c r="U398" s="678"/>
      <c r="V398" s="679"/>
      <c r="W398" s="675"/>
      <c r="X398" s="675"/>
      <c r="Y398" s="675"/>
      <c r="Z398" s="675"/>
    </row>
    <row r="399">
      <c r="A399" s="675"/>
      <c r="B399" s="677"/>
      <c r="C399" s="807"/>
      <c r="D399" s="808"/>
      <c r="E399" s="693"/>
      <c r="F399" s="809"/>
      <c r="G399" s="809"/>
      <c r="H399" s="809"/>
      <c r="I399" s="809"/>
      <c r="J399" s="809"/>
      <c r="K399" s="809"/>
      <c r="L399" s="809"/>
      <c r="M399" s="809"/>
      <c r="N399" s="809"/>
      <c r="O399" s="809"/>
      <c r="P399" s="809"/>
      <c r="Q399" s="809"/>
      <c r="R399" s="675"/>
      <c r="S399" s="675"/>
      <c r="T399" s="675"/>
      <c r="U399" s="678"/>
      <c r="V399" s="679"/>
      <c r="W399" s="675"/>
      <c r="X399" s="675"/>
      <c r="Y399" s="675"/>
      <c r="Z399" s="675"/>
    </row>
    <row r="400">
      <c r="A400" s="675"/>
      <c r="B400" s="677"/>
      <c r="C400" s="807"/>
      <c r="D400" s="808"/>
      <c r="E400" s="693"/>
      <c r="F400" s="809"/>
      <c r="G400" s="809"/>
      <c r="H400" s="809"/>
      <c r="I400" s="809"/>
      <c r="J400" s="809"/>
      <c r="K400" s="809"/>
      <c r="L400" s="809"/>
      <c r="M400" s="809"/>
      <c r="N400" s="809"/>
      <c r="O400" s="809"/>
      <c r="P400" s="809"/>
      <c r="Q400" s="809"/>
      <c r="R400" s="675"/>
      <c r="S400" s="675"/>
      <c r="T400" s="675"/>
      <c r="U400" s="678"/>
      <c r="V400" s="679"/>
      <c r="W400" s="675"/>
      <c r="X400" s="675"/>
      <c r="Y400" s="675"/>
      <c r="Z400" s="675"/>
    </row>
    <row r="401">
      <c r="A401" s="675"/>
      <c r="B401" s="677"/>
      <c r="C401" s="807"/>
      <c r="D401" s="808"/>
      <c r="E401" s="693"/>
      <c r="F401" s="809"/>
      <c r="G401" s="809"/>
      <c r="H401" s="809"/>
      <c r="I401" s="809"/>
      <c r="J401" s="809"/>
      <c r="K401" s="809"/>
      <c r="L401" s="809"/>
      <c r="M401" s="809"/>
      <c r="N401" s="809"/>
      <c r="O401" s="809"/>
      <c r="P401" s="809"/>
      <c r="Q401" s="809"/>
      <c r="R401" s="675"/>
      <c r="S401" s="675"/>
      <c r="T401" s="675"/>
      <c r="U401" s="678"/>
      <c r="V401" s="679"/>
      <c r="W401" s="675"/>
      <c r="X401" s="675"/>
      <c r="Y401" s="675"/>
      <c r="Z401" s="675"/>
    </row>
    <row r="402">
      <c r="A402" s="675"/>
      <c r="B402" s="677"/>
      <c r="C402" s="807"/>
      <c r="D402" s="808"/>
      <c r="E402" s="693"/>
      <c r="F402" s="809"/>
      <c r="G402" s="809"/>
      <c r="H402" s="809"/>
      <c r="I402" s="809"/>
      <c r="J402" s="809"/>
      <c r="K402" s="809"/>
      <c r="L402" s="809"/>
      <c r="M402" s="809"/>
      <c r="N402" s="809"/>
      <c r="O402" s="809"/>
      <c r="P402" s="809"/>
      <c r="Q402" s="809"/>
      <c r="R402" s="675"/>
      <c r="S402" s="675"/>
      <c r="T402" s="675"/>
      <c r="U402" s="678"/>
      <c r="V402" s="679"/>
      <c r="W402" s="675"/>
      <c r="X402" s="675"/>
      <c r="Y402" s="675"/>
      <c r="Z402" s="675"/>
    </row>
    <row r="403">
      <c r="A403" s="675"/>
      <c r="B403" s="677"/>
      <c r="C403" s="807"/>
      <c r="D403" s="808"/>
      <c r="E403" s="693"/>
      <c r="F403" s="809"/>
      <c r="G403" s="809"/>
      <c r="H403" s="809"/>
      <c r="I403" s="809"/>
      <c r="J403" s="809"/>
      <c r="K403" s="809"/>
      <c r="L403" s="809"/>
      <c r="M403" s="809"/>
      <c r="N403" s="809"/>
      <c r="O403" s="809"/>
      <c r="P403" s="809"/>
      <c r="Q403" s="809"/>
      <c r="R403" s="675"/>
      <c r="S403" s="675"/>
      <c r="T403" s="675"/>
      <c r="U403" s="678"/>
      <c r="V403" s="679"/>
      <c r="W403" s="675"/>
      <c r="X403" s="675"/>
      <c r="Y403" s="675"/>
      <c r="Z403" s="675"/>
    </row>
    <row r="404">
      <c r="A404" s="675"/>
      <c r="B404" s="677"/>
      <c r="C404" s="807"/>
      <c r="D404" s="808"/>
      <c r="E404" s="693"/>
      <c r="F404" s="809"/>
      <c r="G404" s="809"/>
      <c r="H404" s="809"/>
      <c r="I404" s="809"/>
      <c r="J404" s="809"/>
      <c r="K404" s="809"/>
      <c r="L404" s="809"/>
      <c r="M404" s="809"/>
      <c r="N404" s="809"/>
      <c r="O404" s="809"/>
      <c r="P404" s="809"/>
      <c r="Q404" s="809"/>
      <c r="R404" s="675"/>
      <c r="S404" s="675"/>
      <c r="T404" s="675"/>
      <c r="U404" s="678"/>
      <c r="V404" s="679"/>
      <c r="W404" s="675"/>
      <c r="X404" s="675"/>
      <c r="Y404" s="675"/>
      <c r="Z404" s="675"/>
    </row>
    <row r="405">
      <c r="A405" s="675"/>
      <c r="B405" s="677"/>
      <c r="C405" s="807"/>
      <c r="D405" s="808"/>
      <c r="E405" s="693"/>
      <c r="F405" s="809"/>
      <c r="G405" s="809"/>
      <c r="H405" s="809"/>
      <c r="I405" s="809"/>
      <c r="J405" s="809"/>
      <c r="K405" s="809"/>
      <c r="L405" s="809"/>
      <c r="M405" s="809"/>
      <c r="N405" s="809"/>
      <c r="O405" s="809"/>
      <c r="P405" s="809"/>
      <c r="Q405" s="809"/>
      <c r="R405" s="675"/>
      <c r="S405" s="675"/>
      <c r="T405" s="675"/>
      <c r="U405" s="678"/>
      <c r="V405" s="679"/>
      <c r="W405" s="675"/>
      <c r="X405" s="675"/>
      <c r="Y405" s="675"/>
      <c r="Z405" s="675"/>
    </row>
    <row r="406">
      <c r="A406" s="675"/>
      <c r="B406" s="677"/>
      <c r="C406" s="807"/>
      <c r="D406" s="808"/>
      <c r="E406" s="693"/>
      <c r="F406" s="809"/>
      <c r="G406" s="809"/>
      <c r="H406" s="809"/>
      <c r="I406" s="809"/>
      <c r="J406" s="809"/>
      <c r="K406" s="809"/>
      <c r="L406" s="809"/>
      <c r="M406" s="809"/>
      <c r="N406" s="809"/>
      <c r="O406" s="809"/>
      <c r="P406" s="809"/>
      <c r="Q406" s="809"/>
      <c r="R406" s="675"/>
      <c r="S406" s="675"/>
      <c r="T406" s="675"/>
      <c r="U406" s="678"/>
      <c r="V406" s="679"/>
      <c r="W406" s="675"/>
      <c r="X406" s="675"/>
      <c r="Y406" s="675"/>
      <c r="Z406" s="675"/>
    </row>
    <row r="407">
      <c r="A407" s="675"/>
      <c r="B407" s="677"/>
      <c r="C407" s="807"/>
      <c r="D407" s="808"/>
      <c r="E407" s="693"/>
      <c r="F407" s="809"/>
      <c r="G407" s="809"/>
      <c r="H407" s="809"/>
      <c r="I407" s="809"/>
      <c r="J407" s="809"/>
      <c r="K407" s="809"/>
      <c r="L407" s="809"/>
      <c r="M407" s="809"/>
      <c r="N407" s="809"/>
      <c r="O407" s="809"/>
      <c r="P407" s="809"/>
      <c r="Q407" s="809"/>
      <c r="R407" s="675"/>
      <c r="S407" s="675"/>
      <c r="T407" s="675"/>
      <c r="U407" s="678"/>
      <c r="V407" s="679"/>
      <c r="W407" s="675"/>
      <c r="X407" s="675"/>
      <c r="Y407" s="675"/>
      <c r="Z407" s="675"/>
    </row>
    <row r="408">
      <c r="A408" s="675"/>
      <c r="B408" s="677"/>
      <c r="C408" s="807"/>
      <c r="D408" s="808"/>
      <c r="E408" s="693"/>
      <c r="F408" s="809"/>
      <c r="G408" s="809"/>
      <c r="H408" s="809"/>
      <c r="I408" s="809"/>
      <c r="J408" s="809"/>
      <c r="K408" s="809"/>
      <c r="L408" s="809"/>
      <c r="M408" s="809"/>
      <c r="N408" s="809"/>
      <c r="O408" s="809"/>
      <c r="P408" s="809"/>
      <c r="Q408" s="809"/>
      <c r="R408" s="675"/>
      <c r="S408" s="675"/>
      <c r="T408" s="675"/>
      <c r="U408" s="678"/>
      <c r="V408" s="679"/>
      <c r="W408" s="675"/>
      <c r="X408" s="675"/>
      <c r="Y408" s="675"/>
      <c r="Z408" s="675"/>
    </row>
    <row r="409">
      <c r="A409" s="675"/>
      <c r="B409" s="677"/>
      <c r="C409" s="807"/>
      <c r="D409" s="808"/>
      <c r="E409" s="693"/>
      <c r="F409" s="809"/>
      <c r="G409" s="809"/>
      <c r="H409" s="809"/>
      <c r="I409" s="809"/>
      <c r="J409" s="809"/>
      <c r="K409" s="809"/>
      <c r="L409" s="809"/>
      <c r="M409" s="809"/>
      <c r="N409" s="809"/>
      <c r="O409" s="809"/>
      <c r="P409" s="809"/>
      <c r="Q409" s="809"/>
      <c r="R409" s="675"/>
      <c r="S409" s="675"/>
      <c r="T409" s="675"/>
      <c r="U409" s="678"/>
      <c r="V409" s="679"/>
      <c r="W409" s="675"/>
      <c r="X409" s="675"/>
      <c r="Y409" s="675"/>
      <c r="Z409" s="675"/>
    </row>
    <row r="410">
      <c r="A410" s="675"/>
      <c r="B410" s="677"/>
      <c r="C410" s="807"/>
      <c r="D410" s="808"/>
      <c r="E410" s="693"/>
      <c r="F410" s="809"/>
      <c r="G410" s="809"/>
      <c r="H410" s="809"/>
      <c r="I410" s="809"/>
      <c r="J410" s="809"/>
      <c r="K410" s="809"/>
      <c r="L410" s="809"/>
      <c r="M410" s="809"/>
      <c r="N410" s="809"/>
      <c r="O410" s="809"/>
      <c r="P410" s="809"/>
      <c r="Q410" s="809"/>
      <c r="R410" s="675"/>
      <c r="S410" s="675"/>
      <c r="T410" s="675"/>
      <c r="U410" s="678"/>
      <c r="V410" s="679"/>
      <c r="W410" s="675"/>
      <c r="X410" s="675"/>
      <c r="Y410" s="675"/>
      <c r="Z410" s="675"/>
    </row>
    <row r="411">
      <c r="A411" s="675"/>
      <c r="B411" s="677"/>
      <c r="C411" s="807"/>
      <c r="D411" s="808"/>
      <c r="E411" s="693"/>
      <c r="F411" s="809"/>
      <c r="G411" s="809"/>
      <c r="H411" s="809"/>
      <c r="I411" s="809"/>
      <c r="J411" s="809"/>
      <c r="K411" s="809"/>
      <c r="L411" s="809"/>
      <c r="M411" s="809"/>
      <c r="N411" s="809"/>
      <c r="O411" s="809"/>
      <c r="P411" s="809"/>
      <c r="Q411" s="809"/>
      <c r="R411" s="675"/>
      <c r="S411" s="675"/>
      <c r="T411" s="675"/>
      <c r="U411" s="678"/>
      <c r="V411" s="679"/>
      <c r="W411" s="675"/>
      <c r="X411" s="675"/>
      <c r="Y411" s="675"/>
      <c r="Z411" s="675"/>
    </row>
    <row r="412">
      <c r="A412" s="675"/>
      <c r="B412" s="677"/>
      <c r="C412" s="807"/>
      <c r="D412" s="808"/>
      <c r="E412" s="693"/>
      <c r="F412" s="809"/>
      <c r="G412" s="809"/>
      <c r="H412" s="809"/>
      <c r="I412" s="809"/>
      <c r="J412" s="809"/>
      <c r="K412" s="809"/>
      <c r="L412" s="809"/>
      <c r="M412" s="809"/>
      <c r="N412" s="809"/>
      <c r="O412" s="809"/>
      <c r="P412" s="809"/>
      <c r="Q412" s="809"/>
      <c r="R412" s="675"/>
      <c r="S412" s="675"/>
      <c r="T412" s="675"/>
      <c r="U412" s="678"/>
      <c r="V412" s="679"/>
      <c r="W412" s="675"/>
      <c r="X412" s="675"/>
      <c r="Y412" s="675"/>
      <c r="Z412" s="675"/>
    </row>
    <row r="413">
      <c r="A413" s="675"/>
      <c r="B413" s="677"/>
      <c r="C413" s="807"/>
      <c r="D413" s="808"/>
      <c r="E413" s="693"/>
      <c r="F413" s="809"/>
      <c r="G413" s="809"/>
      <c r="H413" s="809"/>
      <c r="I413" s="809"/>
      <c r="J413" s="809"/>
      <c r="K413" s="809"/>
      <c r="L413" s="809"/>
      <c r="M413" s="809"/>
      <c r="N413" s="809"/>
      <c r="O413" s="809"/>
      <c r="P413" s="809"/>
      <c r="Q413" s="809"/>
      <c r="R413" s="675"/>
      <c r="S413" s="675"/>
      <c r="T413" s="675"/>
      <c r="U413" s="678"/>
      <c r="V413" s="679"/>
      <c r="W413" s="675"/>
      <c r="X413" s="675"/>
      <c r="Y413" s="675"/>
      <c r="Z413" s="675"/>
    </row>
    <row r="414">
      <c r="A414" s="675"/>
      <c r="B414" s="677"/>
      <c r="C414" s="807"/>
      <c r="D414" s="808"/>
      <c r="E414" s="693"/>
      <c r="F414" s="809"/>
      <c r="G414" s="809"/>
      <c r="H414" s="809"/>
      <c r="I414" s="809"/>
      <c r="J414" s="809"/>
      <c r="K414" s="809"/>
      <c r="L414" s="809"/>
      <c r="M414" s="809"/>
      <c r="N414" s="809"/>
      <c r="O414" s="809"/>
      <c r="P414" s="809"/>
      <c r="Q414" s="809"/>
      <c r="R414" s="675"/>
      <c r="S414" s="675"/>
      <c r="T414" s="675"/>
      <c r="U414" s="678"/>
      <c r="V414" s="679"/>
      <c r="W414" s="675"/>
      <c r="X414" s="675"/>
      <c r="Y414" s="675"/>
      <c r="Z414" s="675"/>
    </row>
    <row r="415">
      <c r="A415" s="675"/>
      <c r="B415" s="677"/>
      <c r="C415" s="807"/>
      <c r="D415" s="808"/>
      <c r="E415" s="693"/>
      <c r="F415" s="809"/>
      <c r="G415" s="809"/>
      <c r="H415" s="809"/>
      <c r="I415" s="809"/>
      <c r="J415" s="809"/>
      <c r="K415" s="809"/>
      <c r="L415" s="809"/>
      <c r="M415" s="809"/>
      <c r="N415" s="809"/>
      <c r="O415" s="809"/>
      <c r="P415" s="809"/>
      <c r="Q415" s="809"/>
      <c r="R415" s="675"/>
      <c r="S415" s="675"/>
      <c r="T415" s="675"/>
      <c r="U415" s="678"/>
      <c r="V415" s="679"/>
      <c r="W415" s="675"/>
      <c r="X415" s="675"/>
      <c r="Y415" s="675"/>
      <c r="Z415" s="675"/>
    </row>
    <row r="416">
      <c r="A416" s="675"/>
      <c r="B416" s="677"/>
      <c r="C416" s="807"/>
      <c r="D416" s="808"/>
      <c r="E416" s="693"/>
      <c r="F416" s="809"/>
      <c r="G416" s="809"/>
      <c r="H416" s="809"/>
      <c r="I416" s="809"/>
      <c r="J416" s="809"/>
      <c r="K416" s="809"/>
      <c r="L416" s="809"/>
      <c r="M416" s="809"/>
      <c r="N416" s="809"/>
      <c r="O416" s="809"/>
      <c r="P416" s="809"/>
      <c r="Q416" s="809"/>
      <c r="R416" s="675"/>
      <c r="S416" s="675"/>
      <c r="T416" s="675"/>
      <c r="U416" s="678"/>
      <c r="V416" s="679"/>
      <c r="W416" s="675"/>
      <c r="X416" s="675"/>
      <c r="Y416" s="675"/>
      <c r="Z416" s="675"/>
    </row>
    <row r="417">
      <c r="A417" s="675"/>
      <c r="B417" s="677"/>
      <c r="C417" s="807"/>
      <c r="D417" s="808"/>
      <c r="E417" s="693"/>
      <c r="F417" s="809"/>
      <c r="G417" s="809"/>
      <c r="H417" s="809"/>
      <c r="I417" s="809"/>
      <c r="J417" s="809"/>
      <c r="K417" s="809"/>
      <c r="L417" s="809"/>
      <c r="M417" s="809"/>
      <c r="N417" s="809"/>
      <c r="O417" s="809"/>
      <c r="P417" s="809"/>
      <c r="Q417" s="809"/>
      <c r="R417" s="675"/>
      <c r="S417" s="675"/>
      <c r="T417" s="675"/>
      <c r="U417" s="678"/>
      <c r="V417" s="679"/>
      <c r="W417" s="675"/>
      <c r="X417" s="675"/>
      <c r="Y417" s="675"/>
      <c r="Z417" s="675"/>
    </row>
    <row r="418">
      <c r="A418" s="675"/>
      <c r="B418" s="677"/>
      <c r="C418" s="807"/>
      <c r="D418" s="808"/>
      <c r="E418" s="693"/>
      <c r="F418" s="809"/>
      <c r="G418" s="809"/>
      <c r="H418" s="809"/>
      <c r="I418" s="809"/>
      <c r="J418" s="809"/>
      <c r="K418" s="809"/>
      <c r="L418" s="809"/>
      <c r="M418" s="809"/>
      <c r="N418" s="809"/>
      <c r="O418" s="809"/>
      <c r="P418" s="809"/>
      <c r="Q418" s="809"/>
      <c r="R418" s="675"/>
      <c r="S418" s="675"/>
      <c r="T418" s="675"/>
      <c r="U418" s="678"/>
      <c r="V418" s="679"/>
      <c r="W418" s="675"/>
      <c r="X418" s="675"/>
      <c r="Y418" s="675"/>
      <c r="Z418" s="675"/>
    </row>
    <row r="419">
      <c r="A419" s="675"/>
      <c r="B419" s="677"/>
      <c r="C419" s="807"/>
      <c r="D419" s="808"/>
      <c r="E419" s="693"/>
      <c r="F419" s="809"/>
      <c r="G419" s="809"/>
      <c r="H419" s="809"/>
      <c r="I419" s="809"/>
      <c r="J419" s="809"/>
      <c r="K419" s="809"/>
      <c r="L419" s="809"/>
      <c r="M419" s="809"/>
      <c r="N419" s="809"/>
      <c r="O419" s="809"/>
      <c r="P419" s="809"/>
      <c r="Q419" s="809"/>
      <c r="R419" s="675"/>
      <c r="S419" s="675"/>
      <c r="T419" s="675"/>
      <c r="U419" s="678"/>
      <c r="V419" s="679"/>
      <c r="W419" s="675"/>
      <c r="X419" s="675"/>
      <c r="Y419" s="675"/>
      <c r="Z419" s="675"/>
    </row>
    <row r="420">
      <c r="A420" s="675"/>
      <c r="B420" s="677"/>
      <c r="C420" s="807"/>
      <c r="D420" s="808"/>
      <c r="E420" s="693"/>
      <c r="F420" s="809"/>
      <c r="G420" s="809"/>
      <c r="H420" s="809"/>
      <c r="I420" s="809"/>
      <c r="J420" s="809"/>
      <c r="K420" s="809"/>
      <c r="L420" s="809"/>
      <c r="M420" s="809"/>
      <c r="N420" s="809"/>
      <c r="O420" s="809"/>
      <c r="P420" s="809"/>
      <c r="Q420" s="809"/>
      <c r="R420" s="675"/>
      <c r="S420" s="675"/>
      <c r="T420" s="675"/>
      <c r="U420" s="678"/>
      <c r="V420" s="679"/>
      <c r="W420" s="675"/>
      <c r="X420" s="675"/>
      <c r="Y420" s="675"/>
      <c r="Z420" s="675"/>
    </row>
    <row r="421">
      <c r="A421" s="675"/>
      <c r="B421" s="677"/>
      <c r="C421" s="807"/>
      <c r="D421" s="808"/>
      <c r="E421" s="693"/>
      <c r="F421" s="809"/>
      <c r="G421" s="809"/>
      <c r="H421" s="809"/>
      <c r="I421" s="809"/>
      <c r="J421" s="809"/>
      <c r="K421" s="809"/>
      <c r="L421" s="809"/>
      <c r="M421" s="809"/>
      <c r="N421" s="809"/>
      <c r="O421" s="809"/>
      <c r="P421" s="809"/>
      <c r="Q421" s="809"/>
      <c r="R421" s="675"/>
      <c r="S421" s="675"/>
      <c r="T421" s="675"/>
      <c r="U421" s="678"/>
      <c r="V421" s="679"/>
      <c r="W421" s="675"/>
      <c r="X421" s="675"/>
      <c r="Y421" s="675"/>
      <c r="Z421" s="675"/>
    </row>
    <row r="422">
      <c r="A422" s="675"/>
      <c r="B422" s="677"/>
      <c r="C422" s="807"/>
      <c r="D422" s="808"/>
      <c r="E422" s="693"/>
      <c r="F422" s="809"/>
      <c r="G422" s="809"/>
      <c r="H422" s="809"/>
      <c r="I422" s="809"/>
      <c r="J422" s="809"/>
      <c r="K422" s="809"/>
      <c r="L422" s="809"/>
      <c r="M422" s="809"/>
      <c r="N422" s="809"/>
      <c r="O422" s="809"/>
      <c r="P422" s="809"/>
      <c r="Q422" s="809"/>
      <c r="R422" s="675"/>
      <c r="S422" s="675"/>
      <c r="T422" s="675"/>
      <c r="U422" s="678"/>
      <c r="V422" s="679"/>
      <c r="W422" s="675"/>
      <c r="X422" s="675"/>
      <c r="Y422" s="675"/>
      <c r="Z422" s="675"/>
    </row>
    <row r="423">
      <c r="A423" s="675"/>
      <c r="B423" s="677"/>
      <c r="C423" s="807"/>
      <c r="D423" s="808"/>
      <c r="E423" s="693"/>
      <c r="F423" s="809"/>
      <c r="G423" s="809"/>
      <c r="H423" s="809"/>
      <c r="I423" s="809"/>
      <c r="J423" s="809"/>
      <c r="K423" s="809"/>
      <c r="L423" s="809"/>
      <c r="M423" s="809"/>
      <c r="N423" s="809"/>
      <c r="O423" s="809"/>
      <c r="P423" s="809"/>
      <c r="Q423" s="809"/>
      <c r="R423" s="675"/>
      <c r="S423" s="675"/>
      <c r="T423" s="675"/>
      <c r="U423" s="678"/>
      <c r="V423" s="679"/>
      <c r="W423" s="675"/>
      <c r="X423" s="675"/>
      <c r="Y423" s="675"/>
      <c r="Z423" s="675"/>
    </row>
    <row r="424">
      <c r="A424" s="675"/>
      <c r="B424" s="677"/>
      <c r="C424" s="807"/>
      <c r="D424" s="808"/>
      <c r="E424" s="693"/>
      <c r="F424" s="809"/>
      <c r="G424" s="809"/>
      <c r="H424" s="809"/>
      <c r="I424" s="809"/>
      <c r="J424" s="809"/>
      <c r="K424" s="809"/>
      <c r="L424" s="809"/>
      <c r="M424" s="809"/>
      <c r="N424" s="809"/>
      <c r="O424" s="809"/>
      <c r="P424" s="809"/>
      <c r="Q424" s="809"/>
      <c r="R424" s="675"/>
      <c r="S424" s="675"/>
      <c r="T424" s="675"/>
      <c r="U424" s="678"/>
      <c r="V424" s="679"/>
      <c r="W424" s="675"/>
      <c r="X424" s="675"/>
      <c r="Y424" s="675"/>
      <c r="Z424" s="675"/>
    </row>
    <row r="425">
      <c r="A425" s="675"/>
      <c r="B425" s="677"/>
      <c r="C425" s="807"/>
      <c r="D425" s="808"/>
      <c r="E425" s="693"/>
      <c r="F425" s="809"/>
      <c r="G425" s="809"/>
      <c r="H425" s="809"/>
      <c r="I425" s="809"/>
      <c r="J425" s="809"/>
      <c r="K425" s="809"/>
      <c r="L425" s="809"/>
      <c r="M425" s="809"/>
      <c r="N425" s="809"/>
      <c r="O425" s="809"/>
      <c r="P425" s="809"/>
      <c r="Q425" s="809"/>
      <c r="R425" s="675"/>
      <c r="S425" s="675"/>
      <c r="T425" s="675"/>
      <c r="U425" s="678"/>
      <c r="V425" s="679"/>
      <c r="W425" s="675"/>
      <c r="X425" s="675"/>
      <c r="Y425" s="675"/>
      <c r="Z425" s="675"/>
    </row>
    <row r="426">
      <c r="A426" s="675"/>
      <c r="B426" s="677"/>
      <c r="C426" s="807"/>
      <c r="D426" s="808"/>
      <c r="E426" s="693"/>
      <c r="F426" s="809"/>
      <c r="G426" s="809"/>
      <c r="H426" s="809"/>
      <c r="I426" s="809"/>
      <c r="J426" s="809"/>
      <c r="K426" s="809"/>
      <c r="L426" s="809"/>
      <c r="M426" s="809"/>
      <c r="N426" s="809"/>
      <c r="O426" s="809"/>
      <c r="P426" s="809"/>
      <c r="Q426" s="809"/>
      <c r="R426" s="675"/>
      <c r="S426" s="675"/>
      <c r="T426" s="675"/>
      <c r="U426" s="678"/>
      <c r="V426" s="679"/>
      <c r="W426" s="675"/>
      <c r="X426" s="675"/>
      <c r="Y426" s="675"/>
      <c r="Z426" s="675"/>
    </row>
    <row r="427">
      <c r="A427" s="675"/>
      <c r="B427" s="677"/>
      <c r="C427" s="807"/>
      <c r="D427" s="808"/>
      <c r="E427" s="693"/>
      <c r="F427" s="809"/>
      <c r="G427" s="809"/>
      <c r="H427" s="809"/>
      <c r="I427" s="809"/>
      <c r="J427" s="809"/>
      <c r="K427" s="809"/>
      <c r="L427" s="809"/>
      <c r="M427" s="809"/>
      <c r="N427" s="809"/>
      <c r="O427" s="809"/>
      <c r="P427" s="809"/>
      <c r="Q427" s="809"/>
      <c r="R427" s="675"/>
      <c r="S427" s="675"/>
      <c r="T427" s="675"/>
      <c r="U427" s="678"/>
      <c r="V427" s="679"/>
      <c r="W427" s="675"/>
      <c r="X427" s="675"/>
      <c r="Y427" s="675"/>
      <c r="Z427" s="675"/>
    </row>
    <row r="428">
      <c r="A428" s="675"/>
      <c r="B428" s="677"/>
      <c r="C428" s="807"/>
      <c r="D428" s="808"/>
      <c r="E428" s="693"/>
      <c r="F428" s="809"/>
      <c r="G428" s="809"/>
      <c r="H428" s="809"/>
      <c r="I428" s="809"/>
      <c r="J428" s="809"/>
      <c r="K428" s="809"/>
      <c r="L428" s="809"/>
      <c r="M428" s="809"/>
      <c r="N428" s="809"/>
      <c r="O428" s="809"/>
      <c r="P428" s="809"/>
      <c r="Q428" s="809"/>
      <c r="R428" s="675"/>
      <c r="S428" s="675"/>
      <c r="T428" s="675"/>
      <c r="U428" s="678"/>
      <c r="V428" s="679"/>
      <c r="W428" s="675"/>
      <c r="X428" s="675"/>
      <c r="Y428" s="675"/>
      <c r="Z428" s="675"/>
    </row>
    <row r="429">
      <c r="A429" s="675"/>
      <c r="B429" s="677"/>
      <c r="C429" s="807"/>
      <c r="D429" s="808"/>
      <c r="E429" s="693"/>
      <c r="F429" s="809"/>
      <c r="G429" s="809"/>
      <c r="H429" s="809"/>
      <c r="I429" s="809"/>
      <c r="J429" s="809"/>
      <c r="K429" s="809"/>
      <c r="L429" s="809"/>
      <c r="M429" s="809"/>
      <c r="N429" s="809"/>
      <c r="O429" s="809"/>
      <c r="P429" s="809"/>
      <c r="Q429" s="809"/>
      <c r="R429" s="675"/>
      <c r="S429" s="675"/>
      <c r="T429" s="675"/>
      <c r="U429" s="678"/>
      <c r="V429" s="679"/>
      <c r="W429" s="675"/>
      <c r="X429" s="675"/>
      <c r="Y429" s="675"/>
      <c r="Z429" s="675"/>
    </row>
    <row r="430">
      <c r="A430" s="675"/>
      <c r="B430" s="677"/>
      <c r="C430" s="807"/>
      <c r="D430" s="808"/>
      <c r="E430" s="693"/>
      <c r="F430" s="809"/>
      <c r="G430" s="809"/>
      <c r="H430" s="809"/>
      <c r="I430" s="809"/>
      <c r="J430" s="809"/>
      <c r="K430" s="809"/>
      <c r="L430" s="809"/>
      <c r="M430" s="809"/>
      <c r="N430" s="809"/>
      <c r="O430" s="809"/>
      <c r="P430" s="809"/>
      <c r="Q430" s="809"/>
      <c r="R430" s="675"/>
      <c r="S430" s="675"/>
      <c r="T430" s="675"/>
      <c r="U430" s="678"/>
      <c r="V430" s="679"/>
      <c r="W430" s="675"/>
      <c r="X430" s="675"/>
      <c r="Y430" s="675"/>
      <c r="Z430" s="675"/>
    </row>
    <row r="431">
      <c r="A431" s="675"/>
      <c r="B431" s="677"/>
      <c r="C431" s="807"/>
      <c r="D431" s="808"/>
      <c r="E431" s="693"/>
      <c r="F431" s="809"/>
      <c r="G431" s="809"/>
      <c r="H431" s="809"/>
      <c r="I431" s="809"/>
      <c r="J431" s="809"/>
      <c r="K431" s="809"/>
      <c r="L431" s="809"/>
      <c r="M431" s="809"/>
      <c r="N431" s="809"/>
      <c r="O431" s="809"/>
      <c r="P431" s="809"/>
      <c r="Q431" s="809"/>
      <c r="R431" s="675"/>
      <c r="S431" s="675"/>
      <c r="T431" s="675"/>
      <c r="U431" s="678"/>
      <c r="V431" s="679"/>
      <c r="W431" s="675"/>
      <c r="X431" s="675"/>
      <c r="Y431" s="675"/>
      <c r="Z431" s="675"/>
    </row>
    <row r="432">
      <c r="A432" s="675"/>
      <c r="B432" s="677"/>
      <c r="C432" s="807"/>
      <c r="D432" s="808"/>
      <c r="E432" s="693"/>
      <c r="F432" s="809"/>
      <c r="G432" s="809"/>
      <c r="H432" s="809"/>
      <c r="I432" s="809"/>
      <c r="J432" s="809"/>
      <c r="K432" s="809"/>
      <c r="L432" s="809"/>
      <c r="M432" s="809"/>
      <c r="N432" s="809"/>
      <c r="O432" s="809"/>
      <c r="P432" s="809"/>
      <c r="Q432" s="809"/>
      <c r="R432" s="675"/>
      <c r="S432" s="675"/>
      <c r="T432" s="675"/>
      <c r="U432" s="678"/>
      <c r="V432" s="679"/>
      <c r="W432" s="675"/>
      <c r="X432" s="675"/>
      <c r="Y432" s="675"/>
      <c r="Z432" s="675"/>
    </row>
    <row r="433">
      <c r="A433" s="675"/>
      <c r="B433" s="677"/>
      <c r="C433" s="807"/>
      <c r="D433" s="808"/>
      <c r="E433" s="693"/>
      <c r="F433" s="809"/>
      <c r="G433" s="809"/>
      <c r="H433" s="809"/>
      <c r="I433" s="809"/>
      <c r="J433" s="809"/>
      <c r="K433" s="809"/>
      <c r="L433" s="809"/>
      <c r="M433" s="809"/>
      <c r="N433" s="809"/>
      <c r="O433" s="809"/>
      <c r="P433" s="809"/>
      <c r="Q433" s="809"/>
      <c r="R433" s="675"/>
      <c r="S433" s="675"/>
      <c r="T433" s="675"/>
      <c r="U433" s="678"/>
      <c r="V433" s="679"/>
      <c r="W433" s="675"/>
      <c r="X433" s="675"/>
      <c r="Y433" s="675"/>
      <c r="Z433" s="675"/>
    </row>
    <row r="434">
      <c r="A434" s="675"/>
      <c r="B434" s="677"/>
      <c r="C434" s="807"/>
      <c r="D434" s="808"/>
      <c r="E434" s="693"/>
      <c r="F434" s="809"/>
      <c r="G434" s="809"/>
      <c r="H434" s="809"/>
      <c r="I434" s="809"/>
      <c r="J434" s="809"/>
      <c r="K434" s="809"/>
      <c r="L434" s="809"/>
      <c r="M434" s="809"/>
      <c r="N434" s="809"/>
      <c r="O434" s="809"/>
      <c r="P434" s="809"/>
      <c r="Q434" s="809"/>
      <c r="R434" s="675"/>
      <c r="S434" s="675"/>
      <c r="T434" s="675"/>
      <c r="U434" s="678"/>
      <c r="V434" s="679"/>
      <c r="W434" s="675"/>
      <c r="X434" s="675"/>
      <c r="Y434" s="675"/>
      <c r="Z434" s="675"/>
    </row>
    <row r="435">
      <c r="A435" s="675"/>
      <c r="B435" s="677"/>
      <c r="C435" s="807"/>
      <c r="D435" s="808"/>
      <c r="E435" s="693"/>
      <c r="F435" s="809"/>
      <c r="G435" s="809"/>
      <c r="H435" s="809"/>
      <c r="I435" s="809"/>
      <c r="J435" s="809"/>
      <c r="K435" s="809"/>
      <c r="L435" s="809"/>
      <c r="M435" s="809"/>
      <c r="N435" s="809"/>
      <c r="O435" s="809"/>
      <c r="P435" s="809"/>
      <c r="Q435" s="809"/>
      <c r="R435" s="675"/>
      <c r="S435" s="675"/>
      <c r="T435" s="675"/>
      <c r="U435" s="678"/>
      <c r="V435" s="679"/>
      <c r="W435" s="675"/>
      <c r="X435" s="675"/>
      <c r="Y435" s="675"/>
      <c r="Z435" s="675"/>
    </row>
    <row r="436">
      <c r="A436" s="675"/>
      <c r="B436" s="677"/>
      <c r="C436" s="807"/>
      <c r="D436" s="808"/>
      <c r="E436" s="693"/>
      <c r="F436" s="809"/>
      <c r="G436" s="809"/>
      <c r="H436" s="809"/>
      <c r="I436" s="809"/>
      <c r="J436" s="809"/>
      <c r="K436" s="809"/>
      <c r="L436" s="809"/>
      <c r="M436" s="809"/>
      <c r="N436" s="809"/>
      <c r="O436" s="809"/>
      <c r="P436" s="809"/>
      <c r="Q436" s="809"/>
      <c r="R436" s="675"/>
      <c r="S436" s="675"/>
      <c r="T436" s="675"/>
      <c r="U436" s="678"/>
      <c r="V436" s="679"/>
      <c r="W436" s="675"/>
      <c r="X436" s="675"/>
      <c r="Y436" s="675"/>
      <c r="Z436" s="675"/>
    </row>
    <row r="437">
      <c r="A437" s="675"/>
      <c r="B437" s="677"/>
      <c r="C437" s="807"/>
      <c r="D437" s="808"/>
      <c r="E437" s="693"/>
      <c r="F437" s="809"/>
      <c r="G437" s="809"/>
      <c r="H437" s="809"/>
      <c r="I437" s="809"/>
      <c r="J437" s="809"/>
      <c r="K437" s="809"/>
      <c r="L437" s="809"/>
      <c r="M437" s="809"/>
      <c r="N437" s="809"/>
      <c r="O437" s="809"/>
      <c r="P437" s="809"/>
      <c r="Q437" s="809"/>
      <c r="R437" s="675"/>
      <c r="S437" s="675"/>
      <c r="T437" s="675"/>
      <c r="U437" s="678"/>
      <c r="V437" s="679"/>
      <c r="W437" s="675"/>
      <c r="X437" s="675"/>
      <c r="Y437" s="675"/>
      <c r="Z437" s="675"/>
    </row>
    <row r="438">
      <c r="A438" s="675"/>
      <c r="B438" s="677"/>
      <c r="C438" s="807"/>
      <c r="D438" s="808"/>
      <c r="E438" s="693"/>
      <c r="F438" s="809"/>
      <c r="G438" s="809"/>
      <c r="H438" s="809"/>
      <c r="I438" s="809"/>
      <c r="J438" s="809"/>
      <c r="K438" s="809"/>
      <c r="L438" s="809"/>
      <c r="M438" s="809"/>
      <c r="N438" s="809"/>
      <c r="O438" s="809"/>
      <c r="P438" s="809"/>
      <c r="Q438" s="809"/>
      <c r="R438" s="675"/>
      <c r="S438" s="675"/>
      <c r="T438" s="675"/>
      <c r="U438" s="678"/>
      <c r="V438" s="679"/>
      <c r="W438" s="675"/>
      <c r="X438" s="675"/>
      <c r="Y438" s="675"/>
      <c r="Z438" s="675"/>
    </row>
    <row r="439">
      <c r="A439" s="675"/>
      <c r="B439" s="677"/>
      <c r="C439" s="807"/>
      <c r="D439" s="808"/>
      <c r="E439" s="693"/>
      <c r="F439" s="809"/>
      <c r="G439" s="809"/>
      <c r="H439" s="809"/>
      <c r="I439" s="809"/>
      <c r="J439" s="809"/>
      <c r="K439" s="809"/>
      <c r="L439" s="809"/>
      <c r="M439" s="809"/>
      <c r="N439" s="809"/>
      <c r="O439" s="809"/>
      <c r="P439" s="809"/>
      <c r="Q439" s="809"/>
      <c r="R439" s="675"/>
      <c r="S439" s="675"/>
      <c r="T439" s="675"/>
      <c r="U439" s="678"/>
      <c r="V439" s="679"/>
      <c r="W439" s="675"/>
      <c r="X439" s="675"/>
      <c r="Y439" s="675"/>
      <c r="Z439" s="675"/>
    </row>
    <row r="440">
      <c r="A440" s="675"/>
      <c r="B440" s="677"/>
      <c r="C440" s="807"/>
      <c r="D440" s="808"/>
      <c r="E440" s="693"/>
      <c r="F440" s="809"/>
      <c r="G440" s="809"/>
      <c r="H440" s="809"/>
      <c r="I440" s="809"/>
      <c r="J440" s="809"/>
      <c r="K440" s="809"/>
      <c r="L440" s="809"/>
      <c r="M440" s="809"/>
      <c r="N440" s="809"/>
      <c r="O440" s="809"/>
      <c r="P440" s="809"/>
      <c r="Q440" s="809"/>
      <c r="R440" s="675"/>
      <c r="S440" s="675"/>
      <c r="T440" s="675"/>
      <c r="U440" s="678"/>
      <c r="V440" s="679"/>
      <c r="W440" s="675"/>
      <c r="X440" s="675"/>
      <c r="Y440" s="675"/>
      <c r="Z440" s="675"/>
    </row>
    <row r="441">
      <c r="A441" s="675"/>
      <c r="B441" s="677"/>
      <c r="C441" s="807"/>
      <c r="D441" s="808"/>
      <c r="E441" s="693"/>
      <c r="F441" s="809"/>
      <c r="G441" s="809"/>
      <c r="H441" s="809"/>
      <c r="I441" s="809"/>
      <c r="J441" s="809"/>
      <c r="K441" s="809"/>
      <c r="L441" s="809"/>
      <c r="M441" s="809"/>
      <c r="N441" s="809"/>
      <c r="O441" s="809"/>
      <c r="P441" s="809"/>
      <c r="Q441" s="809"/>
      <c r="R441" s="675"/>
      <c r="S441" s="675"/>
      <c r="T441" s="675"/>
      <c r="U441" s="678"/>
      <c r="V441" s="679"/>
      <c r="W441" s="675"/>
      <c r="X441" s="675"/>
      <c r="Y441" s="675"/>
      <c r="Z441" s="675"/>
    </row>
    <row r="442">
      <c r="A442" s="675"/>
      <c r="B442" s="677"/>
      <c r="C442" s="807"/>
      <c r="D442" s="808"/>
      <c r="E442" s="693"/>
      <c r="F442" s="809"/>
      <c r="G442" s="809"/>
      <c r="H442" s="809"/>
      <c r="I442" s="809"/>
      <c r="J442" s="809"/>
      <c r="K442" s="809"/>
      <c r="L442" s="809"/>
      <c r="M442" s="809"/>
      <c r="N442" s="809"/>
      <c r="O442" s="809"/>
      <c r="P442" s="809"/>
      <c r="Q442" s="809"/>
      <c r="R442" s="675"/>
      <c r="S442" s="675"/>
      <c r="T442" s="675"/>
      <c r="U442" s="678"/>
      <c r="V442" s="679"/>
      <c r="W442" s="675"/>
      <c r="X442" s="675"/>
      <c r="Y442" s="675"/>
      <c r="Z442" s="675"/>
    </row>
    <row r="443">
      <c r="A443" s="675"/>
      <c r="B443" s="677"/>
      <c r="C443" s="807"/>
      <c r="D443" s="808"/>
      <c r="E443" s="693"/>
      <c r="F443" s="809"/>
      <c r="G443" s="809"/>
      <c r="H443" s="809"/>
      <c r="I443" s="809"/>
      <c r="J443" s="809"/>
      <c r="K443" s="809"/>
      <c r="L443" s="809"/>
      <c r="M443" s="809"/>
      <c r="N443" s="809"/>
      <c r="O443" s="809"/>
      <c r="P443" s="809"/>
      <c r="Q443" s="809"/>
      <c r="R443" s="675"/>
      <c r="S443" s="675"/>
      <c r="T443" s="675"/>
      <c r="U443" s="678"/>
      <c r="V443" s="679"/>
      <c r="W443" s="675"/>
      <c r="X443" s="675"/>
      <c r="Y443" s="675"/>
      <c r="Z443" s="675"/>
    </row>
    <row r="444">
      <c r="A444" s="675"/>
      <c r="B444" s="677"/>
      <c r="C444" s="807"/>
      <c r="D444" s="808"/>
      <c r="E444" s="693"/>
      <c r="F444" s="809"/>
      <c r="G444" s="809"/>
      <c r="H444" s="809"/>
      <c r="I444" s="809"/>
      <c r="J444" s="809"/>
      <c r="K444" s="809"/>
      <c r="L444" s="809"/>
      <c r="M444" s="809"/>
      <c r="N444" s="809"/>
      <c r="O444" s="809"/>
      <c r="P444" s="809"/>
      <c r="Q444" s="809"/>
      <c r="R444" s="675"/>
      <c r="S444" s="675"/>
      <c r="T444" s="675"/>
      <c r="U444" s="678"/>
      <c r="V444" s="679"/>
      <c r="W444" s="675"/>
      <c r="X444" s="675"/>
      <c r="Y444" s="675"/>
      <c r="Z444" s="675"/>
    </row>
    <row r="445">
      <c r="A445" s="675"/>
      <c r="B445" s="677"/>
      <c r="C445" s="807"/>
      <c r="D445" s="808"/>
      <c r="E445" s="693"/>
      <c r="F445" s="809"/>
      <c r="G445" s="809"/>
      <c r="H445" s="809"/>
      <c r="I445" s="809"/>
      <c r="J445" s="809"/>
      <c r="K445" s="809"/>
      <c r="L445" s="809"/>
      <c r="M445" s="809"/>
      <c r="N445" s="809"/>
      <c r="O445" s="809"/>
      <c r="P445" s="809"/>
      <c r="Q445" s="809"/>
      <c r="R445" s="675"/>
      <c r="S445" s="675"/>
      <c r="T445" s="675"/>
      <c r="U445" s="678"/>
      <c r="V445" s="679"/>
      <c r="W445" s="675"/>
      <c r="X445" s="675"/>
      <c r="Y445" s="675"/>
      <c r="Z445" s="675"/>
    </row>
    <row r="446">
      <c r="A446" s="675"/>
      <c r="B446" s="677"/>
      <c r="C446" s="807"/>
      <c r="D446" s="808"/>
      <c r="E446" s="693"/>
      <c r="F446" s="809"/>
      <c r="G446" s="809"/>
      <c r="H446" s="809"/>
      <c r="I446" s="809"/>
      <c r="J446" s="809"/>
      <c r="K446" s="809"/>
      <c r="L446" s="809"/>
      <c r="M446" s="809"/>
      <c r="N446" s="809"/>
      <c r="O446" s="809"/>
      <c r="P446" s="809"/>
      <c r="Q446" s="809"/>
      <c r="R446" s="675"/>
      <c r="S446" s="675"/>
      <c r="T446" s="675"/>
      <c r="U446" s="678"/>
      <c r="V446" s="679"/>
      <c r="W446" s="675"/>
      <c r="X446" s="675"/>
      <c r="Y446" s="675"/>
      <c r="Z446" s="675"/>
    </row>
    <row r="447">
      <c r="A447" s="675"/>
      <c r="B447" s="677"/>
      <c r="C447" s="807"/>
      <c r="D447" s="808"/>
      <c r="E447" s="693"/>
      <c r="F447" s="809"/>
      <c r="G447" s="809"/>
      <c r="H447" s="809"/>
      <c r="I447" s="809"/>
      <c r="J447" s="809"/>
      <c r="K447" s="809"/>
      <c r="L447" s="809"/>
      <c r="M447" s="809"/>
      <c r="N447" s="809"/>
      <c r="O447" s="809"/>
      <c r="P447" s="809"/>
      <c r="Q447" s="809"/>
      <c r="R447" s="675"/>
      <c r="S447" s="675"/>
      <c r="T447" s="675"/>
      <c r="U447" s="678"/>
      <c r="V447" s="679"/>
      <c r="W447" s="675"/>
      <c r="X447" s="675"/>
      <c r="Y447" s="675"/>
      <c r="Z447" s="675"/>
    </row>
    <row r="448">
      <c r="A448" s="675"/>
      <c r="B448" s="677"/>
      <c r="C448" s="807"/>
      <c r="D448" s="808"/>
      <c r="E448" s="693"/>
      <c r="F448" s="809"/>
      <c r="G448" s="809"/>
      <c r="H448" s="809"/>
      <c r="I448" s="809"/>
      <c r="J448" s="809"/>
      <c r="K448" s="809"/>
      <c r="L448" s="809"/>
      <c r="M448" s="809"/>
      <c r="N448" s="809"/>
      <c r="O448" s="809"/>
      <c r="P448" s="809"/>
      <c r="Q448" s="809"/>
      <c r="R448" s="675"/>
      <c r="S448" s="675"/>
      <c r="T448" s="675"/>
      <c r="U448" s="678"/>
      <c r="V448" s="679"/>
      <c r="W448" s="675"/>
      <c r="X448" s="675"/>
      <c r="Y448" s="675"/>
      <c r="Z448" s="675"/>
    </row>
    <row r="449">
      <c r="A449" s="675"/>
      <c r="B449" s="677"/>
      <c r="C449" s="807"/>
      <c r="D449" s="808"/>
      <c r="E449" s="693"/>
      <c r="F449" s="809"/>
      <c r="G449" s="809"/>
      <c r="H449" s="809"/>
      <c r="I449" s="809"/>
      <c r="J449" s="809"/>
      <c r="K449" s="809"/>
      <c r="L449" s="809"/>
      <c r="M449" s="809"/>
      <c r="N449" s="809"/>
      <c r="O449" s="809"/>
      <c r="P449" s="809"/>
      <c r="Q449" s="809"/>
      <c r="R449" s="675"/>
      <c r="S449" s="675"/>
      <c r="T449" s="675"/>
      <c r="U449" s="678"/>
      <c r="V449" s="679"/>
      <c r="W449" s="675"/>
      <c r="X449" s="675"/>
      <c r="Y449" s="675"/>
      <c r="Z449" s="675"/>
    </row>
    <row r="450">
      <c r="A450" s="675"/>
      <c r="B450" s="677"/>
      <c r="C450" s="807"/>
      <c r="D450" s="808"/>
      <c r="E450" s="693"/>
      <c r="F450" s="809"/>
      <c r="G450" s="809"/>
      <c r="H450" s="809"/>
      <c r="I450" s="809"/>
      <c r="J450" s="809"/>
      <c r="K450" s="809"/>
      <c r="L450" s="809"/>
      <c r="M450" s="809"/>
      <c r="N450" s="809"/>
      <c r="O450" s="809"/>
      <c r="P450" s="809"/>
      <c r="Q450" s="809"/>
      <c r="R450" s="675"/>
      <c r="S450" s="675"/>
      <c r="T450" s="675"/>
      <c r="U450" s="678"/>
      <c r="V450" s="679"/>
      <c r="W450" s="675"/>
      <c r="X450" s="675"/>
      <c r="Y450" s="675"/>
      <c r="Z450" s="675"/>
    </row>
    <row r="451">
      <c r="A451" s="675"/>
      <c r="B451" s="677"/>
      <c r="C451" s="807"/>
      <c r="D451" s="808"/>
      <c r="E451" s="693"/>
      <c r="F451" s="809"/>
      <c r="G451" s="809"/>
      <c r="H451" s="809"/>
      <c r="I451" s="809"/>
      <c r="J451" s="809"/>
      <c r="K451" s="809"/>
      <c r="L451" s="809"/>
      <c r="M451" s="809"/>
      <c r="N451" s="809"/>
      <c r="O451" s="809"/>
      <c r="P451" s="809"/>
      <c r="Q451" s="809"/>
      <c r="R451" s="675"/>
      <c r="S451" s="675"/>
      <c r="T451" s="675"/>
      <c r="U451" s="678"/>
      <c r="V451" s="679"/>
      <c r="W451" s="675"/>
      <c r="X451" s="675"/>
      <c r="Y451" s="675"/>
      <c r="Z451" s="675"/>
    </row>
    <row r="452">
      <c r="A452" s="675"/>
      <c r="B452" s="677"/>
      <c r="C452" s="807"/>
      <c r="D452" s="808"/>
      <c r="E452" s="693"/>
      <c r="F452" s="809"/>
      <c r="G452" s="809"/>
      <c r="H452" s="809"/>
      <c r="I452" s="809"/>
      <c r="J452" s="809"/>
      <c r="K452" s="809"/>
      <c r="L452" s="809"/>
      <c r="M452" s="809"/>
      <c r="N452" s="809"/>
      <c r="O452" s="809"/>
      <c r="P452" s="809"/>
      <c r="Q452" s="809"/>
      <c r="R452" s="675"/>
      <c r="S452" s="675"/>
      <c r="T452" s="675"/>
      <c r="U452" s="678"/>
      <c r="V452" s="679"/>
      <c r="W452" s="675"/>
      <c r="X452" s="675"/>
      <c r="Y452" s="675"/>
      <c r="Z452" s="675"/>
    </row>
    <row r="453">
      <c r="A453" s="675"/>
      <c r="B453" s="677"/>
      <c r="C453" s="807"/>
      <c r="D453" s="808"/>
      <c r="E453" s="693"/>
      <c r="F453" s="809"/>
      <c r="G453" s="809"/>
      <c r="H453" s="809"/>
      <c r="I453" s="809"/>
      <c r="J453" s="809"/>
      <c r="K453" s="809"/>
      <c r="L453" s="809"/>
      <c r="M453" s="809"/>
      <c r="N453" s="809"/>
      <c r="O453" s="809"/>
      <c r="P453" s="809"/>
      <c r="Q453" s="809"/>
      <c r="R453" s="675"/>
      <c r="S453" s="675"/>
      <c r="T453" s="675"/>
      <c r="U453" s="678"/>
      <c r="V453" s="679"/>
      <c r="W453" s="675"/>
      <c r="X453" s="675"/>
      <c r="Y453" s="675"/>
      <c r="Z453" s="675"/>
    </row>
    <row r="454">
      <c r="A454" s="675"/>
      <c r="B454" s="677"/>
      <c r="C454" s="807"/>
      <c r="D454" s="808"/>
      <c r="E454" s="693"/>
      <c r="F454" s="809"/>
      <c r="G454" s="809"/>
      <c r="H454" s="809"/>
      <c r="I454" s="809"/>
      <c r="J454" s="809"/>
      <c r="K454" s="809"/>
      <c r="L454" s="809"/>
      <c r="M454" s="809"/>
      <c r="N454" s="809"/>
      <c r="O454" s="809"/>
      <c r="P454" s="809"/>
      <c r="Q454" s="809"/>
      <c r="R454" s="675"/>
      <c r="S454" s="675"/>
      <c r="T454" s="675"/>
      <c r="U454" s="678"/>
      <c r="V454" s="679"/>
      <c r="W454" s="675"/>
      <c r="X454" s="675"/>
      <c r="Y454" s="675"/>
      <c r="Z454" s="675"/>
    </row>
    <row r="455">
      <c r="A455" s="675"/>
      <c r="B455" s="677"/>
      <c r="C455" s="807"/>
      <c r="D455" s="808"/>
      <c r="E455" s="693"/>
      <c r="F455" s="809"/>
      <c r="G455" s="809"/>
      <c r="H455" s="809"/>
      <c r="I455" s="809"/>
      <c r="J455" s="809"/>
      <c r="K455" s="809"/>
      <c r="L455" s="809"/>
      <c r="M455" s="809"/>
      <c r="N455" s="809"/>
      <c r="O455" s="809"/>
      <c r="P455" s="809"/>
      <c r="Q455" s="809"/>
      <c r="R455" s="675"/>
      <c r="S455" s="675"/>
      <c r="T455" s="675"/>
      <c r="U455" s="678"/>
      <c r="V455" s="679"/>
      <c r="W455" s="675"/>
      <c r="X455" s="675"/>
      <c r="Y455" s="675"/>
      <c r="Z455" s="675"/>
    </row>
    <row r="456">
      <c r="A456" s="675"/>
      <c r="B456" s="677"/>
      <c r="C456" s="807"/>
      <c r="D456" s="808"/>
      <c r="E456" s="693"/>
      <c r="F456" s="809"/>
      <c r="G456" s="809"/>
      <c r="H456" s="809"/>
      <c r="I456" s="809"/>
      <c r="J456" s="809"/>
      <c r="K456" s="809"/>
      <c r="L456" s="809"/>
      <c r="M456" s="809"/>
      <c r="N456" s="809"/>
      <c r="O456" s="809"/>
      <c r="P456" s="809"/>
      <c r="Q456" s="809"/>
      <c r="R456" s="675"/>
      <c r="S456" s="675"/>
      <c r="T456" s="675"/>
      <c r="U456" s="678"/>
      <c r="V456" s="679"/>
      <c r="W456" s="675"/>
      <c r="X456" s="675"/>
      <c r="Y456" s="675"/>
      <c r="Z456" s="675"/>
    </row>
    <row r="457">
      <c r="A457" s="675"/>
      <c r="B457" s="677"/>
      <c r="C457" s="807"/>
      <c r="D457" s="808"/>
      <c r="E457" s="693"/>
      <c r="F457" s="809"/>
      <c r="G457" s="809"/>
      <c r="H457" s="809"/>
      <c r="I457" s="809"/>
      <c r="J457" s="809"/>
      <c r="K457" s="809"/>
      <c r="L457" s="809"/>
      <c r="M457" s="809"/>
      <c r="N457" s="809"/>
      <c r="O457" s="809"/>
      <c r="P457" s="809"/>
      <c r="Q457" s="809"/>
      <c r="R457" s="675"/>
      <c r="S457" s="675"/>
      <c r="T457" s="675"/>
      <c r="U457" s="678"/>
      <c r="V457" s="679"/>
      <c r="W457" s="675"/>
      <c r="X457" s="675"/>
      <c r="Y457" s="675"/>
      <c r="Z457" s="675"/>
    </row>
    <row r="458">
      <c r="A458" s="675"/>
      <c r="B458" s="677"/>
      <c r="C458" s="807"/>
      <c r="D458" s="808"/>
      <c r="E458" s="693"/>
      <c r="F458" s="809"/>
      <c r="G458" s="809"/>
      <c r="H458" s="809"/>
      <c r="I458" s="809"/>
      <c r="J458" s="809"/>
      <c r="K458" s="809"/>
      <c r="L458" s="809"/>
      <c r="M458" s="809"/>
      <c r="N458" s="809"/>
      <c r="O458" s="809"/>
      <c r="P458" s="809"/>
      <c r="Q458" s="809"/>
      <c r="R458" s="675"/>
      <c r="S458" s="675"/>
      <c r="T458" s="675"/>
      <c r="U458" s="678"/>
      <c r="V458" s="679"/>
      <c r="W458" s="675"/>
      <c r="X458" s="675"/>
      <c r="Y458" s="675"/>
      <c r="Z458" s="675"/>
    </row>
    <row r="459">
      <c r="A459" s="675"/>
      <c r="B459" s="677"/>
      <c r="C459" s="807"/>
      <c r="D459" s="808"/>
      <c r="E459" s="693"/>
      <c r="F459" s="809"/>
      <c r="G459" s="809"/>
      <c r="H459" s="809"/>
      <c r="I459" s="809"/>
      <c r="J459" s="809"/>
      <c r="K459" s="809"/>
      <c r="L459" s="809"/>
      <c r="M459" s="809"/>
      <c r="N459" s="809"/>
      <c r="O459" s="809"/>
      <c r="P459" s="809"/>
      <c r="Q459" s="809"/>
      <c r="R459" s="675"/>
      <c r="S459" s="675"/>
      <c r="T459" s="675"/>
      <c r="U459" s="678"/>
      <c r="V459" s="679"/>
      <c r="W459" s="675"/>
      <c r="X459" s="675"/>
      <c r="Y459" s="675"/>
      <c r="Z459" s="675"/>
    </row>
    <row r="460">
      <c r="A460" s="675"/>
      <c r="B460" s="677"/>
      <c r="C460" s="807"/>
      <c r="D460" s="808"/>
      <c r="E460" s="693"/>
      <c r="F460" s="809"/>
      <c r="G460" s="809"/>
      <c r="H460" s="809"/>
      <c r="I460" s="809"/>
      <c r="J460" s="809"/>
      <c r="K460" s="809"/>
      <c r="L460" s="809"/>
      <c r="M460" s="809"/>
      <c r="N460" s="809"/>
      <c r="O460" s="809"/>
      <c r="P460" s="809"/>
      <c r="Q460" s="809"/>
      <c r="R460" s="675"/>
      <c r="S460" s="675"/>
      <c r="T460" s="675"/>
      <c r="U460" s="678"/>
      <c r="V460" s="679"/>
      <c r="W460" s="675"/>
      <c r="X460" s="675"/>
      <c r="Y460" s="675"/>
      <c r="Z460" s="675"/>
    </row>
    <row r="461">
      <c r="A461" s="675"/>
      <c r="B461" s="677"/>
      <c r="C461" s="807"/>
      <c r="D461" s="808"/>
      <c r="E461" s="693"/>
      <c r="F461" s="809"/>
      <c r="G461" s="809"/>
      <c r="H461" s="809"/>
      <c r="I461" s="809"/>
      <c r="J461" s="809"/>
      <c r="K461" s="809"/>
      <c r="L461" s="809"/>
      <c r="M461" s="809"/>
      <c r="N461" s="809"/>
      <c r="O461" s="809"/>
      <c r="P461" s="809"/>
      <c r="Q461" s="809"/>
      <c r="R461" s="675"/>
      <c r="S461" s="675"/>
      <c r="T461" s="675"/>
      <c r="U461" s="678"/>
      <c r="V461" s="679"/>
      <c r="W461" s="675"/>
      <c r="X461" s="675"/>
      <c r="Y461" s="675"/>
      <c r="Z461" s="675"/>
    </row>
    <row r="462">
      <c r="A462" s="675"/>
      <c r="B462" s="677"/>
      <c r="C462" s="807"/>
      <c r="D462" s="808"/>
      <c r="E462" s="693"/>
      <c r="F462" s="809"/>
      <c r="G462" s="809"/>
      <c r="H462" s="809"/>
      <c r="I462" s="809"/>
      <c r="J462" s="809"/>
      <c r="K462" s="809"/>
      <c r="L462" s="809"/>
      <c r="M462" s="809"/>
      <c r="N462" s="809"/>
      <c r="O462" s="809"/>
      <c r="P462" s="809"/>
      <c r="Q462" s="809"/>
      <c r="R462" s="675"/>
      <c r="S462" s="675"/>
      <c r="T462" s="675"/>
      <c r="U462" s="678"/>
      <c r="V462" s="679"/>
      <c r="W462" s="675"/>
      <c r="X462" s="675"/>
      <c r="Y462" s="675"/>
      <c r="Z462" s="675"/>
    </row>
    <row r="463">
      <c r="A463" s="675"/>
      <c r="B463" s="677"/>
      <c r="C463" s="807"/>
      <c r="D463" s="808"/>
      <c r="E463" s="693"/>
      <c r="F463" s="809"/>
      <c r="G463" s="809"/>
      <c r="H463" s="809"/>
      <c r="I463" s="809"/>
      <c r="J463" s="809"/>
      <c r="K463" s="809"/>
      <c r="L463" s="809"/>
      <c r="M463" s="809"/>
      <c r="N463" s="809"/>
      <c r="O463" s="809"/>
      <c r="P463" s="809"/>
      <c r="Q463" s="809"/>
      <c r="R463" s="675"/>
      <c r="S463" s="675"/>
      <c r="T463" s="675"/>
      <c r="U463" s="678"/>
      <c r="V463" s="679"/>
      <c r="W463" s="675"/>
      <c r="X463" s="675"/>
      <c r="Y463" s="675"/>
      <c r="Z463" s="675"/>
    </row>
    <row r="464">
      <c r="A464" s="675"/>
      <c r="B464" s="677"/>
      <c r="C464" s="807"/>
      <c r="D464" s="808"/>
      <c r="E464" s="693"/>
      <c r="F464" s="809"/>
      <c r="G464" s="809"/>
      <c r="H464" s="809"/>
      <c r="I464" s="809"/>
      <c r="J464" s="809"/>
      <c r="K464" s="809"/>
      <c r="L464" s="809"/>
      <c r="M464" s="809"/>
      <c r="N464" s="809"/>
      <c r="O464" s="809"/>
      <c r="P464" s="809"/>
      <c r="Q464" s="809"/>
      <c r="R464" s="675"/>
      <c r="S464" s="675"/>
      <c r="T464" s="675"/>
      <c r="U464" s="678"/>
      <c r="V464" s="679"/>
      <c r="W464" s="675"/>
      <c r="X464" s="675"/>
      <c r="Y464" s="675"/>
      <c r="Z464" s="675"/>
    </row>
    <row r="465">
      <c r="A465" s="675"/>
      <c r="B465" s="677"/>
      <c r="C465" s="807"/>
      <c r="D465" s="808"/>
      <c r="E465" s="693"/>
      <c r="F465" s="809"/>
      <c r="G465" s="809"/>
      <c r="H465" s="809"/>
      <c r="I465" s="809"/>
      <c r="J465" s="809"/>
      <c r="K465" s="809"/>
      <c r="L465" s="809"/>
      <c r="M465" s="809"/>
      <c r="N465" s="809"/>
      <c r="O465" s="809"/>
      <c r="P465" s="809"/>
      <c r="Q465" s="809"/>
      <c r="R465" s="675"/>
      <c r="S465" s="675"/>
      <c r="T465" s="675"/>
      <c r="U465" s="678"/>
      <c r="V465" s="679"/>
      <c r="W465" s="675"/>
      <c r="X465" s="675"/>
      <c r="Y465" s="675"/>
      <c r="Z465" s="675"/>
    </row>
    <row r="466">
      <c r="A466" s="675"/>
      <c r="B466" s="677"/>
      <c r="C466" s="807"/>
      <c r="D466" s="808"/>
      <c r="E466" s="693"/>
      <c r="F466" s="809"/>
      <c r="G466" s="809"/>
      <c r="H466" s="809"/>
      <c r="I466" s="809"/>
      <c r="J466" s="809"/>
      <c r="K466" s="809"/>
      <c r="L466" s="809"/>
      <c r="M466" s="809"/>
      <c r="N466" s="809"/>
      <c r="O466" s="809"/>
      <c r="P466" s="809"/>
      <c r="Q466" s="809"/>
      <c r="R466" s="675"/>
      <c r="S466" s="675"/>
      <c r="T466" s="675"/>
      <c r="U466" s="678"/>
      <c r="V466" s="679"/>
      <c r="W466" s="675"/>
      <c r="X466" s="675"/>
      <c r="Y466" s="675"/>
      <c r="Z466" s="675"/>
    </row>
    <row r="467">
      <c r="A467" s="675"/>
      <c r="B467" s="677"/>
      <c r="C467" s="807"/>
      <c r="D467" s="808"/>
      <c r="E467" s="693"/>
      <c r="F467" s="809"/>
      <c r="G467" s="809"/>
      <c r="H467" s="809"/>
      <c r="I467" s="809"/>
      <c r="J467" s="809"/>
      <c r="K467" s="809"/>
      <c r="L467" s="809"/>
      <c r="M467" s="809"/>
      <c r="N467" s="809"/>
      <c r="O467" s="809"/>
      <c r="P467" s="809"/>
      <c r="Q467" s="809"/>
      <c r="R467" s="675"/>
      <c r="S467" s="675"/>
      <c r="T467" s="675"/>
      <c r="U467" s="678"/>
      <c r="V467" s="679"/>
      <c r="W467" s="675"/>
      <c r="X467" s="675"/>
      <c r="Y467" s="675"/>
      <c r="Z467" s="675"/>
    </row>
    <row r="468">
      <c r="A468" s="675"/>
      <c r="B468" s="677"/>
      <c r="C468" s="807"/>
      <c r="D468" s="808"/>
      <c r="E468" s="693"/>
      <c r="F468" s="809"/>
      <c r="G468" s="809"/>
      <c r="H468" s="809"/>
      <c r="I468" s="809"/>
      <c r="J468" s="809"/>
      <c r="K468" s="809"/>
      <c r="L468" s="809"/>
      <c r="M468" s="809"/>
      <c r="N468" s="809"/>
      <c r="O468" s="809"/>
      <c r="P468" s="809"/>
      <c r="Q468" s="809"/>
      <c r="R468" s="675"/>
      <c r="S468" s="675"/>
      <c r="T468" s="675"/>
      <c r="U468" s="678"/>
      <c r="V468" s="679"/>
      <c r="W468" s="675"/>
      <c r="X468" s="675"/>
      <c r="Y468" s="675"/>
      <c r="Z468" s="675"/>
    </row>
    <row r="469">
      <c r="A469" s="675"/>
      <c r="B469" s="677"/>
      <c r="C469" s="807"/>
      <c r="D469" s="808"/>
      <c r="E469" s="693"/>
      <c r="F469" s="809"/>
      <c r="G469" s="809"/>
      <c r="H469" s="809"/>
      <c r="I469" s="809"/>
      <c r="J469" s="809"/>
      <c r="K469" s="809"/>
      <c r="L469" s="809"/>
      <c r="M469" s="809"/>
      <c r="N469" s="809"/>
      <c r="O469" s="809"/>
      <c r="P469" s="809"/>
      <c r="Q469" s="809"/>
      <c r="R469" s="675"/>
      <c r="S469" s="675"/>
      <c r="T469" s="675"/>
      <c r="U469" s="678"/>
      <c r="V469" s="679"/>
      <c r="W469" s="675"/>
      <c r="X469" s="675"/>
      <c r="Y469" s="675"/>
      <c r="Z469" s="675"/>
    </row>
    <row r="470">
      <c r="A470" s="675"/>
      <c r="B470" s="677"/>
      <c r="C470" s="807"/>
      <c r="D470" s="808"/>
      <c r="E470" s="693"/>
      <c r="F470" s="809"/>
      <c r="G470" s="809"/>
      <c r="H470" s="809"/>
      <c r="I470" s="809"/>
      <c r="J470" s="809"/>
      <c r="K470" s="809"/>
      <c r="L470" s="809"/>
      <c r="M470" s="809"/>
      <c r="N470" s="809"/>
      <c r="O470" s="809"/>
      <c r="P470" s="809"/>
      <c r="Q470" s="809"/>
      <c r="R470" s="675"/>
      <c r="S470" s="675"/>
      <c r="T470" s="675"/>
      <c r="U470" s="678"/>
      <c r="V470" s="679"/>
      <c r="W470" s="675"/>
      <c r="X470" s="675"/>
      <c r="Y470" s="675"/>
      <c r="Z470" s="675"/>
    </row>
    <row r="471">
      <c r="A471" s="675"/>
      <c r="B471" s="677"/>
      <c r="C471" s="807"/>
      <c r="D471" s="808"/>
      <c r="E471" s="693"/>
      <c r="F471" s="809"/>
      <c r="G471" s="809"/>
      <c r="H471" s="809"/>
      <c r="I471" s="809"/>
      <c r="J471" s="809"/>
      <c r="K471" s="809"/>
      <c r="L471" s="809"/>
      <c r="M471" s="809"/>
      <c r="N471" s="809"/>
      <c r="O471" s="809"/>
      <c r="P471" s="809"/>
      <c r="Q471" s="809"/>
      <c r="R471" s="675"/>
      <c r="S471" s="675"/>
      <c r="T471" s="675"/>
      <c r="U471" s="678"/>
      <c r="V471" s="679"/>
      <c r="W471" s="675"/>
      <c r="X471" s="675"/>
      <c r="Y471" s="675"/>
      <c r="Z471" s="675"/>
    </row>
    <row r="472">
      <c r="A472" s="675"/>
      <c r="B472" s="677"/>
      <c r="C472" s="807"/>
      <c r="D472" s="808"/>
      <c r="E472" s="693"/>
      <c r="F472" s="809"/>
      <c r="G472" s="809"/>
      <c r="H472" s="809"/>
      <c r="I472" s="809"/>
      <c r="J472" s="809"/>
      <c r="K472" s="809"/>
      <c r="L472" s="809"/>
      <c r="M472" s="809"/>
      <c r="N472" s="809"/>
      <c r="O472" s="809"/>
      <c r="P472" s="809"/>
      <c r="Q472" s="809"/>
      <c r="R472" s="675"/>
      <c r="S472" s="675"/>
      <c r="T472" s="675"/>
      <c r="U472" s="678"/>
      <c r="V472" s="679"/>
      <c r="W472" s="675"/>
      <c r="X472" s="675"/>
      <c r="Y472" s="675"/>
      <c r="Z472" s="675"/>
    </row>
    <row r="473">
      <c r="A473" s="675"/>
      <c r="B473" s="677"/>
      <c r="C473" s="807"/>
      <c r="D473" s="808"/>
      <c r="E473" s="693"/>
      <c r="F473" s="809"/>
      <c r="G473" s="809"/>
      <c r="H473" s="809"/>
      <c r="I473" s="809"/>
      <c r="J473" s="809"/>
      <c r="K473" s="809"/>
      <c r="L473" s="809"/>
      <c r="M473" s="809"/>
      <c r="N473" s="809"/>
      <c r="O473" s="809"/>
      <c r="P473" s="809"/>
      <c r="Q473" s="809"/>
      <c r="R473" s="675"/>
      <c r="S473" s="675"/>
      <c r="T473" s="675"/>
      <c r="U473" s="678"/>
      <c r="V473" s="679"/>
      <c r="W473" s="675"/>
      <c r="X473" s="675"/>
      <c r="Y473" s="675"/>
      <c r="Z473" s="675"/>
    </row>
    <row r="474">
      <c r="A474" s="675"/>
      <c r="B474" s="677"/>
      <c r="C474" s="807"/>
      <c r="D474" s="808"/>
      <c r="E474" s="693"/>
      <c r="F474" s="809"/>
      <c r="G474" s="809"/>
      <c r="H474" s="809"/>
      <c r="I474" s="809"/>
      <c r="J474" s="809"/>
      <c r="K474" s="809"/>
      <c r="L474" s="809"/>
      <c r="M474" s="809"/>
      <c r="N474" s="809"/>
      <c r="O474" s="809"/>
      <c r="P474" s="809"/>
      <c r="Q474" s="809"/>
      <c r="R474" s="675"/>
      <c r="S474" s="675"/>
      <c r="T474" s="675"/>
      <c r="U474" s="678"/>
      <c r="V474" s="679"/>
      <c r="W474" s="675"/>
      <c r="X474" s="675"/>
      <c r="Y474" s="675"/>
      <c r="Z474" s="675"/>
    </row>
    <row r="475">
      <c r="A475" s="675"/>
      <c r="B475" s="677"/>
      <c r="C475" s="807"/>
      <c r="D475" s="808"/>
      <c r="E475" s="693"/>
      <c r="F475" s="809"/>
      <c r="G475" s="809"/>
      <c r="H475" s="809"/>
      <c r="I475" s="809"/>
      <c r="J475" s="809"/>
      <c r="K475" s="809"/>
      <c r="L475" s="809"/>
      <c r="M475" s="809"/>
      <c r="N475" s="809"/>
      <c r="O475" s="809"/>
      <c r="P475" s="809"/>
      <c r="Q475" s="809"/>
      <c r="R475" s="675"/>
      <c r="S475" s="675"/>
      <c r="T475" s="675"/>
      <c r="U475" s="678"/>
      <c r="V475" s="679"/>
      <c r="W475" s="675"/>
      <c r="X475" s="675"/>
      <c r="Y475" s="675"/>
      <c r="Z475" s="675"/>
    </row>
    <row r="476">
      <c r="A476" s="675"/>
      <c r="B476" s="677"/>
      <c r="C476" s="807"/>
      <c r="D476" s="808"/>
      <c r="E476" s="693"/>
      <c r="F476" s="809"/>
      <c r="G476" s="809"/>
      <c r="H476" s="809"/>
      <c r="I476" s="809"/>
      <c r="J476" s="809"/>
      <c r="K476" s="809"/>
      <c r="L476" s="809"/>
      <c r="M476" s="809"/>
      <c r="N476" s="809"/>
      <c r="O476" s="809"/>
      <c r="P476" s="809"/>
      <c r="Q476" s="809"/>
      <c r="R476" s="675"/>
      <c r="S476" s="675"/>
      <c r="T476" s="675"/>
      <c r="U476" s="678"/>
      <c r="V476" s="679"/>
      <c r="W476" s="675"/>
      <c r="X476" s="675"/>
      <c r="Y476" s="675"/>
      <c r="Z476" s="675"/>
    </row>
    <row r="477">
      <c r="A477" s="675"/>
      <c r="B477" s="677"/>
      <c r="C477" s="807"/>
      <c r="D477" s="808"/>
      <c r="E477" s="693"/>
      <c r="F477" s="809"/>
      <c r="G477" s="809"/>
      <c r="H477" s="809"/>
      <c r="I477" s="809"/>
      <c r="J477" s="809"/>
      <c r="K477" s="809"/>
      <c r="L477" s="809"/>
      <c r="M477" s="809"/>
      <c r="N477" s="809"/>
      <c r="O477" s="809"/>
      <c r="P477" s="809"/>
      <c r="Q477" s="809"/>
      <c r="R477" s="675"/>
      <c r="S477" s="675"/>
      <c r="T477" s="675"/>
      <c r="U477" s="678"/>
      <c r="V477" s="679"/>
      <c r="W477" s="675"/>
      <c r="X477" s="675"/>
      <c r="Y477" s="675"/>
      <c r="Z477" s="675"/>
    </row>
    <row r="478">
      <c r="A478" s="675"/>
      <c r="B478" s="677"/>
      <c r="C478" s="807"/>
      <c r="D478" s="808"/>
      <c r="E478" s="693"/>
      <c r="F478" s="809"/>
      <c r="G478" s="809"/>
      <c r="H478" s="809"/>
      <c r="I478" s="809"/>
      <c r="J478" s="809"/>
      <c r="K478" s="809"/>
      <c r="L478" s="809"/>
      <c r="M478" s="809"/>
      <c r="N478" s="809"/>
      <c r="O478" s="809"/>
      <c r="P478" s="809"/>
      <c r="Q478" s="809"/>
      <c r="R478" s="675"/>
      <c r="S478" s="675"/>
      <c r="T478" s="675"/>
      <c r="U478" s="678"/>
      <c r="V478" s="679"/>
      <c r="W478" s="675"/>
      <c r="X478" s="675"/>
      <c r="Y478" s="675"/>
      <c r="Z478" s="675"/>
    </row>
    <row r="479">
      <c r="A479" s="675"/>
      <c r="B479" s="677"/>
      <c r="C479" s="807"/>
      <c r="D479" s="808"/>
      <c r="E479" s="693"/>
      <c r="F479" s="809"/>
      <c r="G479" s="809"/>
      <c r="H479" s="809"/>
      <c r="I479" s="809"/>
      <c r="J479" s="809"/>
      <c r="K479" s="809"/>
      <c r="L479" s="809"/>
      <c r="M479" s="809"/>
      <c r="N479" s="809"/>
      <c r="O479" s="809"/>
      <c r="P479" s="809"/>
      <c r="Q479" s="809"/>
      <c r="R479" s="675"/>
      <c r="S479" s="675"/>
      <c r="T479" s="675"/>
      <c r="U479" s="678"/>
      <c r="V479" s="679"/>
      <c r="W479" s="675"/>
      <c r="X479" s="675"/>
      <c r="Y479" s="675"/>
      <c r="Z479" s="675"/>
    </row>
    <row r="480">
      <c r="A480" s="675"/>
      <c r="B480" s="677"/>
      <c r="C480" s="807"/>
      <c r="D480" s="808"/>
      <c r="E480" s="693"/>
      <c r="F480" s="809"/>
      <c r="G480" s="809"/>
      <c r="H480" s="809"/>
      <c r="I480" s="809"/>
      <c r="J480" s="809"/>
      <c r="K480" s="809"/>
      <c r="L480" s="809"/>
      <c r="M480" s="809"/>
      <c r="N480" s="809"/>
      <c r="O480" s="809"/>
      <c r="P480" s="809"/>
      <c r="Q480" s="809"/>
      <c r="R480" s="675"/>
      <c r="S480" s="675"/>
      <c r="T480" s="675"/>
      <c r="U480" s="678"/>
      <c r="V480" s="679"/>
      <c r="W480" s="675"/>
      <c r="X480" s="675"/>
      <c r="Y480" s="675"/>
      <c r="Z480" s="675"/>
    </row>
    <row r="481">
      <c r="A481" s="675"/>
      <c r="B481" s="677"/>
      <c r="C481" s="807"/>
      <c r="D481" s="808"/>
      <c r="E481" s="693"/>
      <c r="F481" s="809"/>
      <c r="G481" s="809"/>
      <c r="H481" s="809"/>
      <c r="I481" s="809"/>
      <c r="J481" s="809"/>
      <c r="K481" s="809"/>
      <c r="L481" s="809"/>
      <c r="M481" s="809"/>
      <c r="N481" s="809"/>
      <c r="O481" s="809"/>
      <c r="P481" s="809"/>
      <c r="Q481" s="809"/>
      <c r="R481" s="675"/>
      <c r="S481" s="675"/>
      <c r="T481" s="675"/>
      <c r="U481" s="678"/>
      <c r="V481" s="679"/>
      <c r="W481" s="675"/>
      <c r="X481" s="675"/>
      <c r="Y481" s="675"/>
      <c r="Z481" s="675"/>
    </row>
    <row r="482">
      <c r="A482" s="675"/>
      <c r="B482" s="677"/>
      <c r="C482" s="807"/>
      <c r="D482" s="808"/>
      <c r="E482" s="693"/>
      <c r="F482" s="809"/>
      <c r="G482" s="809"/>
      <c r="H482" s="809"/>
      <c r="I482" s="809"/>
      <c r="J482" s="809"/>
      <c r="K482" s="809"/>
      <c r="L482" s="809"/>
      <c r="M482" s="809"/>
      <c r="N482" s="809"/>
      <c r="O482" s="809"/>
      <c r="P482" s="809"/>
      <c r="Q482" s="809"/>
      <c r="R482" s="675"/>
      <c r="S482" s="675"/>
      <c r="T482" s="675"/>
      <c r="U482" s="678"/>
      <c r="V482" s="679"/>
      <c r="W482" s="675"/>
      <c r="X482" s="675"/>
      <c r="Y482" s="675"/>
      <c r="Z482" s="675"/>
    </row>
    <row r="483">
      <c r="A483" s="675"/>
      <c r="B483" s="677"/>
      <c r="C483" s="807"/>
      <c r="D483" s="808"/>
      <c r="E483" s="693"/>
      <c r="F483" s="809"/>
      <c r="G483" s="809"/>
      <c r="H483" s="809"/>
      <c r="I483" s="809"/>
      <c r="J483" s="809"/>
      <c r="K483" s="809"/>
      <c r="L483" s="809"/>
      <c r="M483" s="809"/>
      <c r="N483" s="809"/>
      <c r="O483" s="809"/>
      <c r="P483" s="809"/>
      <c r="Q483" s="809"/>
      <c r="R483" s="675"/>
      <c r="S483" s="675"/>
      <c r="T483" s="675"/>
      <c r="U483" s="678"/>
      <c r="V483" s="679"/>
      <c r="W483" s="675"/>
      <c r="X483" s="675"/>
      <c r="Y483" s="675"/>
      <c r="Z483" s="675"/>
    </row>
    <row r="484">
      <c r="A484" s="675"/>
      <c r="B484" s="677"/>
      <c r="C484" s="807"/>
      <c r="D484" s="808"/>
      <c r="E484" s="693"/>
      <c r="F484" s="809"/>
      <c r="G484" s="809"/>
      <c r="H484" s="809"/>
      <c r="I484" s="809"/>
      <c r="J484" s="809"/>
      <c r="K484" s="809"/>
      <c r="L484" s="809"/>
      <c r="M484" s="809"/>
      <c r="N484" s="809"/>
      <c r="O484" s="809"/>
      <c r="P484" s="809"/>
      <c r="Q484" s="809"/>
      <c r="R484" s="675"/>
      <c r="S484" s="675"/>
      <c r="T484" s="675"/>
      <c r="U484" s="678"/>
      <c r="V484" s="679"/>
      <c r="W484" s="675"/>
      <c r="X484" s="675"/>
      <c r="Y484" s="675"/>
      <c r="Z484" s="675"/>
    </row>
    <row r="485">
      <c r="A485" s="675"/>
      <c r="B485" s="677"/>
      <c r="C485" s="807"/>
      <c r="D485" s="808"/>
      <c r="E485" s="693"/>
      <c r="F485" s="809"/>
      <c r="G485" s="809"/>
      <c r="H485" s="809"/>
      <c r="I485" s="809"/>
      <c r="J485" s="809"/>
      <c r="K485" s="809"/>
      <c r="L485" s="809"/>
      <c r="M485" s="809"/>
      <c r="N485" s="809"/>
      <c r="O485" s="809"/>
      <c r="P485" s="809"/>
      <c r="Q485" s="809"/>
      <c r="R485" s="675"/>
      <c r="S485" s="675"/>
      <c r="T485" s="675"/>
      <c r="U485" s="678"/>
      <c r="V485" s="679"/>
      <c r="W485" s="675"/>
      <c r="X485" s="675"/>
      <c r="Y485" s="675"/>
      <c r="Z485" s="675"/>
    </row>
    <row r="486">
      <c r="A486" s="675"/>
      <c r="B486" s="677"/>
      <c r="C486" s="807"/>
      <c r="D486" s="808"/>
      <c r="E486" s="693"/>
      <c r="F486" s="809"/>
      <c r="G486" s="809"/>
      <c r="H486" s="809"/>
      <c r="I486" s="809"/>
      <c r="J486" s="809"/>
      <c r="K486" s="809"/>
      <c r="L486" s="809"/>
      <c r="M486" s="809"/>
      <c r="N486" s="809"/>
      <c r="O486" s="809"/>
      <c r="P486" s="809"/>
      <c r="Q486" s="809"/>
      <c r="R486" s="675"/>
      <c r="S486" s="675"/>
      <c r="T486" s="675"/>
      <c r="U486" s="678"/>
      <c r="V486" s="679"/>
      <c r="W486" s="675"/>
      <c r="X486" s="675"/>
      <c r="Y486" s="675"/>
      <c r="Z486" s="675"/>
    </row>
    <row r="487">
      <c r="A487" s="675"/>
      <c r="B487" s="677"/>
      <c r="C487" s="807"/>
      <c r="D487" s="808"/>
      <c r="E487" s="693"/>
      <c r="F487" s="809"/>
      <c r="G487" s="809"/>
      <c r="H487" s="809"/>
      <c r="I487" s="809"/>
      <c r="J487" s="809"/>
      <c r="K487" s="809"/>
      <c r="L487" s="809"/>
      <c r="M487" s="809"/>
      <c r="N487" s="809"/>
      <c r="O487" s="809"/>
      <c r="P487" s="809"/>
      <c r="Q487" s="809"/>
      <c r="R487" s="675"/>
      <c r="S487" s="675"/>
      <c r="T487" s="675"/>
      <c r="U487" s="678"/>
      <c r="V487" s="679"/>
      <c r="W487" s="675"/>
      <c r="X487" s="675"/>
      <c r="Y487" s="675"/>
      <c r="Z487" s="675"/>
    </row>
    <row r="488">
      <c r="A488" s="675"/>
      <c r="B488" s="677"/>
      <c r="C488" s="807"/>
      <c r="D488" s="808"/>
      <c r="E488" s="693"/>
      <c r="F488" s="809"/>
      <c r="G488" s="809"/>
      <c r="H488" s="809"/>
      <c r="I488" s="809"/>
      <c r="J488" s="809"/>
      <c r="K488" s="809"/>
      <c r="L488" s="809"/>
      <c r="M488" s="809"/>
      <c r="N488" s="809"/>
      <c r="O488" s="809"/>
      <c r="P488" s="809"/>
      <c r="Q488" s="809"/>
      <c r="R488" s="675"/>
      <c r="S488" s="675"/>
      <c r="T488" s="675"/>
      <c r="U488" s="678"/>
      <c r="V488" s="679"/>
      <c r="W488" s="675"/>
      <c r="X488" s="675"/>
      <c r="Y488" s="675"/>
      <c r="Z488" s="675"/>
    </row>
    <row r="489">
      <c r="A489" s="675"/>
      <c r="B489" s="677"/>
      <c r="C489" s="807"/>
      <c r="D489" s="808"/>
      <c r="E489" s="693"/>
      <c r="F489" s="809"/>
      <c r="G489" s="809"/>
      <c r="H489" s="809"/>
      <c r="I489" s="809"/>
      <c r="J489" s="809"/>
      <c r="K489" s="809"/>
      <c r="L489" s="809"/>
      <c r="M489" s="809"/>
      <c r="N489" s="809"/>
      <c r="O489" s="809"/>
      <c r="P489" s="809"/>
      <c r="Q489" s="809"/>
      <c r="R489" s="675"/>
      <c r="S489" s="675"/>
      <c r="T489" s="675"/>
      <c r="U489" s="678"/>
      <c r="V489" s="679"/>
      <c r="W489" s="675"/>
      <c r="X489" s="675"/>
      <c r="Y489" s="675"/>
      <c r="Z489" s="675"/>
    </row>
    <row r="490">
      <c r="A490" s="675"/>
      <c r="B490" s="677"/>
      <c r="C490" s="807"/>
      <c r="D490" s="808"/>
      <c r="E490" s="693"/>
      <c r="F490" s="809"/>
      <c r="G490" s="809"/>
      <c r="H490" s="809"/>
      <c r="I490" s="809"/>
      <c r="J490" s="809"/>
      <c r="K490" s="809"/>
      <c r="L490" s="809"/>
      <c r="M490" s="809"/>
      <c r="N490" s="809"/>
      <c r="O490" s="809"/>
      <c r="P490" s="809"/>
      <c r="Q490" s="809"/>
      <c r="R490" s="675"/>
      <c r="S490" s="675"/>
      <c r="T490" s="675"/>
      <c r="U490" s="678"/>
      <c r="V490" s="679"/>
      <c r="W490" s="675"/>
      <c r="X490" s="675"/>
      <c r="Y490" s="675"/>
      <c r="Z490" s="675"/>
    </row>
    <row r="491">
      <c r="A491" s="675"/>
      <c r="B491" s="677"/>
      <c r="C491" s="807"/>
      <c r="D491" s="808"/>
      <c r="E491" s="693"/>
      <c r="F491" s="809"/>
      <c r="G491" s="809"/>
      <c r="H491" s="809"/>
      <c r="I491" s="809"/>
      <c r="J491" s="809"/>
      <c r="K491" s="809"/>
      <c r="L491" s="809"/>
      <c r="M491" s="809"/>
      <c r="N491" s="809"/>
      <c r="O491" s="809"/>
      <c r="P491" s="809"/>
      <c r="Q491" s="809"/>
      <c r="R491" s="675"/>
      <c r="S491" s="675"/>
      <c r="T491" s="675"/>
      <c r="U491" s="678"/>
      <c r="V491" s="679"/>
      <c r="W491" s="675"/>
      <c r="X491" s="675"/>
      <c r="Y491" s="675"/>
      <c r="Z491" s="675"/>
    </row>
    <row r="492">
      <c r="A492" s="675"/>
      <c r="B492" s="677"/>
      <c r="C492" s="807"/>
      <c r="D492" s="808"/>
      <c r="E492" s="693"/>
      <c r="F492" s="809"/>
      <c r="G492" s="809"/>
      <c r="H492" s="809"/>
      <c r="I492" s="809"/>
      <c r="J492" s="809"/>
      <c r="K492" s="809"/>
      <c r="L492" s="809"/>
      <c r="M492" s="809"/>
      <c r="N492" s="809"/>
      <c r="O492" s="809"/>
      <c r="P492" s="809"/>
      <c r="Q492" s="809"/>
      <c r="R492" s="675"/>
      <c r="S492" s="675"/>
      <c r="T492" s="675"/>
      <c r="U492" s="678"/>
      <c r="V492" s="679"/>
      <c r="W492" s="675"/>
      <c r="X492" s="675"/>
      <c r="Y492" s="675"/>
      <c r="Z492" s="675"/>
    </row>
    <row r="493">
      <c r="A493" s="675"/>
      <c r="B493" s="677"/>
      <c r="C493" s="807"/>
      <c r="D493" s="808"/>
      <c r="E493" s="693"/>
      <c r="F493" s="809"/>
      <c r="G493" s="809"/>
      <c r="H493" s="809"/>
      <c r="I493" s="809"/>
      <c r="J493" s="809"/>
      <c r="K493" s="809"/>
      <c r="L493" s="809"/>
      <c r="M493" s="809"/>
      <c r="N493" s="809"/>
      <c r="O493" s="809"/>
      <c r="P493" s="809"/>
      <c r="Q493" s="809"/>
      <c r="R493" s="675"/>
      <c r="S493" s="675"/>
      <c r="T493" s="675"/>
      <c r="U493" s="678"/>
      <c r="V493" s="679"/>
      <c r="W493" s="675"/>
      <c r="X493" s="675"/>
      <c r="Y493" s="675"/>
      <c r="Z493" s="675"/>
    </row>
    <row r="494">
      <c r="A494" s="675"/>
      <c r="B494" s="677"/>
      <c r="C494" s="807"/>
      <c r="D494" s="808"/>
      <c r="E494" s="693"/>
      <c r="F494" s="809"/>
      <c r="G494" s="809"/>
      <c r="H494" s="809"/>
      <c r="I494" s="809"/>
      <c r="J494" s="809"/>
      <c r="K494" s="809"/>
      <c r="L494" s="809"/>
      <c r="M494" s="809"/>
      <c r="N494" s="809"/>
      <c r="O494" s="809"/>
      <c r="P494" s="809"/>
      <c r="Q494" s="809"/>
      <c r="R494" s="675"/>
      <c r="S494" s="675"/>
      <c r="T494" s="675"/>
      <c r="U494" s="678"/>
      <c r="V494" s="679"/>
      <c r="W494" s="675"/>
      <c r="X494" s="675"/>
      <c r="Y494" s="675"/>
      <c r="Z494" s="675"/>
    </row>
    <row r="495">
      <c r="A495" s="675"/>
      <c r="B495" s="677"/>
      <c r="C495" s="807"/>
      <c r="D495" s="808"/>
      <c r="E495" s="693"/>
      <c r="F495" s="809"/>
      <c r="G495" s="809"/>
      <c r="H495" s="809"/>
      <c r="I495" s="809"/>
      <c r="J495" s="809"/>
      <c r="K495" s="809"/>
      <c r="L495" s="809"/>
      <c r="M495" s="809"/>
      <c r="N495" s="809"/>
      <c r="O495" s="809"/>
      <c r="P495" s="809"/>
      <c r="Q495" s="809"/>
      <c r="R495" s="675"/>
      <c r="S495" s="675"/>
      <c r="T495" s="675"/>
      <c r="U495" s="678"/>
      <c r="V495" s="679"/>
      <c r="W495" s="675"/>
      <c r="X495" s="675"/>
      <c r="Y495" s="675"/>
      <c r="Z495" s="675"/>
    </row>
    <row r="496">
      <c r="A496" s="675"/>
      <c r="B496" s="677"/>
      <c r="C496" s="807"/>
      <c r="D496" s="808"/>
      <c r="E496" s="693"/>
      <c r="F496" s="809"/>
      <c r="G496" s="809"/>
      <c r="H496" s="809"/>
      <c r="I496" s="809"/>
      <c r="J496" s="809"/>
      <c r="K496" s="809"/>
      <c r="L496" s="809"/>
      <c r="M496" s="809"/>
      <c r="N496" s="809"/>
      <c r="O496" s="809"/>
      <c r="P496" s="809"/>
      <c r="Q496" s="809"/>
      <c r="R496" s="675"/>
      <c r="S496" s="675"/>
      <c r="T496" s="675"/>
      <c r="U496" s="678"/>
      <c r="V496" s="679"/>
      <c r="W496" s="675"/>
      <c r="X496" s="675"/>
      <c r="Y496" s="675"/>
      <c r="Z496" s="675"/>
    </row>
    <row r="497">
      <c r="A497" s="675"/>
      <c r="B497" s="677"/>
      <c r="C497" s="807"/>
      <c r="D497" s="808"/>
      <c r="E497" s="693"/>
      <c r="F497" s="809"/>
      <c r="G497" s="809"/>
      <c r="H497" s="809"/>
      <c r="I497" s="809"/>
      <c r="J497" s="809"/>
      <c r="K497" s="809"/>
      <c r="L497" s="809"/>
      <c r="M497" s="809"/>
      <c r="N497" s="809"/>
      <c r="O497" s="809"/>
      <c r="P497" s="809"/>
      <c r="Q497" s="809"/>
      <c r="R497" s="675"/>
      <c r="S497" s="675"/>
      <c r="T497" s="675"/>
      <c r="U497" s="678"/>
      <c r="V497" s="679"/>
      <c r="W497" s="675"/>
      <c r="X497" s="675"/>
      <c r="Y497" s="675"/>
      <c r="Z497" s="675"/>
    </row>
    <row r="498">
      <c r="A498" s="675"/>
      <c r="B498" s="677"/>
      <c r="C498" s="807"/>
      <c r="D498" s="808"/>
      <c r="E498" s="693"/>
      <c r="F498" s="809"/>
      <c r="G498" s="809"/>
      <c r="H498" s="809"/>
      <c r="I498" s="809"/>
      <c r="J498" s="809"/>
      <c r="K498" s="809"/>
      <c r="L498" s="809"/>
      <c r="M498" s="809"/>
      <c r="N498" s="809"/>
      <c r="O498" s="809"/>
      <c r="P498" s="809"/>
      <c r="Q498" s="809"/>
      <c r="R498" s="675"/>
      <c r="S498" s="675"/>
      <c r="T498" s="675"/>
      <c r="U498" s="678"/>
      <c r="V498" s="679"/>
      <c r="W498" s="675"/>
      <c r="X498" s="675"/>
      <c r="Y498" s="675"/>
      <c r="Z498" s="675"/>
    </row>
    <row r="499">
      <c r="A499" s="675"/>
      <c r="B499" s="677"/>
      <c r="C499" s="807"/>
      <c r="D499" s="808"/>
      <c r="E499" s="693"/>
      <c r="F499" s="809"/>
      <c r="G499" s="809"/>
      <c r="H499" s="809"/>
      <c r="I499" s="809"/>
      <c r="J499" s="809"/>
      <c r="K499" s="809"/>
      <c r="L499" s="809"/>
      <c r="M499" s="809"/>
      <c r="N499" s="809"/>
      <c r="O499" s="809"/>
      <c r="P499" s="809"/>
      <c r="Q499" s="809"/>
      <c r="R499" s="675"/>
      <c r="S499" s="675"/>
      <c r="T499" s="675"/>
      <c r="U499" s="678"/>
      <c r="V499" s="679"/>
      <c r="W499" s="675"/>
      <c r="X499" s="675"/>
      <c r="Y499" s="675"/>
      <c r="Z499" s="675"/>
    </row>
    <row r="500">
      <c r="A500" s="675"/>
      <c r="B500" s="677"/>
      <c r="C500" s="807"/>
      <c r="D500" s="808"/>
      <c r="E500" s="693"/>
      <c r="F500" s="809"/>
      <c r="G500" s="809"/>
      <c r="H500" s="809"/>
      <c r="I500" s="809"/>
      <c r="J500" s="809"/>
      <c r="K500" s="809"/>
      <c r="L500" s="809"/>
      <c r="M500" s="809"/>
      <c r="N500" s="809"/>
      <c r="O500" s="809"/>
      <c r="P500" s="809"/>
      <c r="Q500" s="809"/>
      <c r="R500" s="675"/>
      <c r="S500" s="675"/>
      <c r="T500" s="675"/>
      <c r="U500" s="678"/>
      <c r="V500" s="679"/>
      <c r="W500" s="675"/>
      <c r="X500" s="675"/>
      <c r="Y500" s="675"/>
      <c r="Z500" s="675"/>
    </row>
    <row r="501">
      <c r="A501" s="675"/>
      <c r="B501" s="677"/>
      <c r="C501" s="807"/>
      <c r="D501" s="808"/>
      <c r="E501" s="693"/>
      <c r="F501" s="809"/>
      <c r="G501" s="809"/>
      <c r="H501" s="809"/>
      <c r="I501" s="809"/>
      <c r="J501" s="809"/>
      <c r="K501" s="809"/>
      <c r="L501" s="809"/>
      <c r="M501" s="809"/>
      <c r="N501" s="809"/>
      <c r="O501" s="809"/>
      <c r="P501" s="809"/>
      <c r="Q501" s="809"/>
      <c r="R501" s="675"/>
      <c r="S501" s="675"/>
      <c r="T501" s="675"/>
      <c r="U501" s="678"/>
      <c r="V501" s="679"/>
      <c r="W501" s="675"/>
      <c r="X501" s="675"/>
      <c r="Y501" s="675"/>
      <c r="Z501" s="675"/>
    </row>
    <row r="502">
      <c r="A502" s="675"/>
      <c r="B502" s="677"/>
      <c r="C502" s="807"/>
      <c r="D502" s="808"/>
      <c r="E502" s="693"/>
      <c r="F502" s="809"/>
      <c r="G502" s="809"/>
      <c r="H502" s="809"/>
      <c r="I502" s="809"/>
      <c r="J502" s="809"/>
      <c r="K502" s="809"/>
      <c r="L502" s="809"/>
      <c r="M502" s="809"/>
      <c r="N502" s="809"/>
      <c r="O502" s="809"/>
      <c r="P502" s="809"/>
      <c r="Q502" s="809"/>
      <c r="R502" s="675"/>
      <c r="S502" s="675"/>
      <c r="T502" s="675"/>
      <c r="U502" s="678"/>
      <c r="V502" s="679"/>
      <c r="W502" s="675"/>
      <c r="X502" s="675"/>
      <c r="Y502" s="675"/>
      <c r="Z502" s="675"/>
    </row>
    <row r="503">
      <c r="A503" s="675"/>
      <c r="B503" s="677"/>
      <c r="C503" s="807"/>
      <c r="D503" s="808"/>
      <c r="E503" s="693"/>
      <c r="F503" s="809"/>
      <c r="G503" s="809"/>
      <c r="H503" s="809"/>
      <c r="I503" s="809"/>
      <c r="J503" s="809"/>
      <c r="K503" s="809"/>
      <c r="L503" s="809"/>
      <c r="M503" s="809"/>
      <c r="N503" s="809"/>
      <c r="O503" s="809"/>
      <c r="P503" s="809"/>
      <c r="Q503" s="809"/>
      <c r="R503" s="675"/>
      <c r="S503" s="675"/>
      <c r="T503" s="675"/>
      <c r="U503" s="678"/>
      <c r="V503" s="679"/>
      <c r="W503" s="675"/>
      <c r="X503" s="675"/>
      <c r="Y503" s="675"/>
      <c r="Z503" s="675"/>
    </row>
    <row r="504">
      <c r="A504" s="675"/>
      <c r="B504" s="677"/>
      <c r="C504" s="807"/>
      <c r="D504" s="808"/>
      <c r="E504" s="693"/>
      <c r="F504" s="809"/>
      <c r="G504" s="809"/>
      <c r="H504" s="809"/>
      <c r="I504" s="809"/>
      <c r="J504" s="809"/>
      <c r="K504" s="809"/>
      <c r="L504" s="809"/>
      <c r="M504" s="809"/>
      <c r="N504" s="809"/>
      <c r="O504" s="809"/>
      <c r="P504" s="809"/>
      <c r="Q504" s="809"/>
      <c r="R504" s="675"/>
      <c r="S504" s="675"/>
      <c r="T504" s="675"/>
      <c r="U504" s="678"/>
      <c r="V504" s="679"/>
      <c r="W504" s="675"/>
      <c r="X504" s="675"/>
      <c r="Y504" s="675"/>
      <c r="Z504" s="675"/>
    </row>
    <row r="505">
      <c r="A505" s="675"/>
      <c r="B505" s="677"/>
      <c r="C505" s="807"/>
      <c r="D505" s="808"/>
      <c r="E505" s="693"/>
      <c r="F505" s="809"/>
      <c r="G505" s="809"/>
      <c r="H505" s="809"/>
      <c r="I505" s="809"/>
      <c r="J505" s="809"/>
      <c r="K505" s="809"/>
      <c r="L505" s="809"/>
      <c r="M505" s="809"/>
      <c r="N505" s="809"/>
      <c r="O505" s="809"/>
      <c r="P505" s="809"/>
      <c r="Q505" s="809"/>
      <c r="R505" s="675"/>
      <c r="S505" s="675"/>
      <c r="T505" s="675"/>
      <c r="U505" s="678"/>
      <c r="V505" s="679"/>
      <c r="W505" s="675"/>
      <c r="X505" s="675"/>
      <c r="Y505" s="675"/>
      <c r="Z505" s="675"/>
    </row>
    <row r="506">
      <c r="A506" s="675"/>
      <c r="B506" s="677"/>
      <c r="C506" s="807"/>
      <c r="D506" s="808"/>
      <c r="E506" s="693"/>
      <c r="F506" s="809"/>
      <c r="G506" s="809"/>
      <c r="H506" s="809"/>
      <c r="I506" s="809"/>
      <c r="J506" s="809"/>
      <c r="K506" s="809"/>
      <c r="L506" s="809"/>
      <c r="M506" s="809"/>
      <c r="N506" s="809"/>
      <c r="O506" s="809"/>
      <c r="P506" s="809"/>
      <c r="Q506" s="809"/>
      <c r="R506" s="675"/>
      <c r="S506" s="675"/>
      <c r="T506" s="675"/>
      <c r="U506" s="678"/>
      <c r="V506" s="679"/>
      <c r="W506" s="675"/>
      <c r="X506" s="675"/>
      <c r="Y506" s="675"/>
      <c r="Z506" s="675"/>
    </row>
    <row r="507">
      <c r="A507" s="675"/>
      <c r="B507" s="677"/>
      <c r="C507" s="807"/>
      <c r="D507" s="808"/>
      <c r="E507" s="693"/>
      <c r="F507" s="809"/>
      <c r="G507" s="809"/>
      <c r="H507" s="809"/>
      <c r="I507" s="809"/>
      <c r="J507" s="809"/>
      <c r="K507" s="809"/>
      <c r="L507" s="809"/>
      <c r="M507" s="809"/>
      <c r="N507" s="809"/>
      <c r="O507" s="809"/>
      <c r="P507" s="809"/>
      <c r="Q507" s="809"/>
      <c r="R507" s="675"/>
      <c r="S507" s="675"/>
      <c r="T507" s="675"/>
      <c r="U507" s="678"/>
      <c r="V507" s="679"/>
      <c r="W507" s="675"/>
      <c r="X507" s="675"/>
      <c r="Y507" s="675"/>
      <c r="Z507" s="675"/>
    </row>
    <row r="508">
      <c r="A508" s="675"/>
      <c r="B508" s="677"/>
      <c r="C508" s="807"/>
      <c r="D508" s="808"/>
      <c r="E508" s="693"/>
      <c r="F508" s="809"/>
      <c r="G508" s="809"/>
      <c r="H508" s="809"/>
      <c r="I508" s="809"/>
      <c r="J508" s="809"/>
      <c r="K508" s="809"/>
      <c r="L508" s="809"/>
      <c r="M508" s="809"/>
      <c r="N508" s="809"/>
      <c r="O508" s="809"/>
      <c r="P508" s="809"/>
      <c r="Q508" s="809"/>
      <c r="R508" s="675"/>
      <c r="S508" s="675"/>
      <c r="T508" s="675"/>
      <c r="U508" s="678"/>
      <c r="V508" s="679"/>
      <c r="W508" s="675"/>
      <c r="X508" s="675"/>
      <c r="Y508" s="675"/>
      <c r="Z508" s="675"/>
    </row>
    <row r="509">
      <c r="A509" s="675"/>
      <c r="B509" s="677"/>
      <c r="C509" s="807"/>
      <c r="D509" s="808"/>
      <c r="E509" s="693"/>
      <c r="F509" s="809"/>
      <c r="G509" s="809"/>
      <c r="H509" s="809"/>
      <c r="I509" s="809"/>
      <c r="J509" s="809"/>
      <c r="K509" s="809"/>
      <c r="L509" s="809"/>
      <c r="M509" s="809"/>
      <c r="N509" s="809"/>
      <c r="O509" s="809"/>
      <c r="P509" s="809"/>
      <c r="Q509" s="809"/>
      <c r="R509" s="675"/>
      <c r="S509" s="675"/>
      <c r="T509" s="675"/>
      <c r="U509" s="678"/>
      <c r="V509" s="679"/>
      <c r="W509" s="675"/>
      <c r="X509" s="675"/>
      <c r="Y509" s="675"/>
      <c r="Z509" s="675"/>
    </row>
    <row r="510">
      <c r="A510" s="675"/>
      <c r="B510" s="677"/>
      <c r="C510" s="807"/>
      <c r="D510" s="808"/>
      <c r="E510" s="693"/>
      <c r="F510" s="809"/>
      <c r="G510" s="809"/>
      <c r="H510" s="809"/>
      <c r="I510" s="809"/>
      <c r="J510" s="809"/>
      <c r="K510" s="809"/>
      <c r="L510" s="809"/>
      <c r="M510" s="809"/>
      <c r="N510" s="809"/>
      <c r="O510" s="809"/>
      <c r="P510" s="809"/>
      <c r="Q510" s="809"/>
      <c r="R510" s="675"/>
      <c r="S510" s="675"/>
      <c r="T510" s="675"/>
      <c r="U510" s="678"/>
      <c r="V510" s="679"/>
      <c r="W510" s="675"/>
      <c r="X510" s="675"/>
      <c r="Y510" s="675"/>
      <c r="Z510" s="675"/>
    </row>
    <row r="511">
      <c r="A511" s="675"/>
      <c r="B511" s="677"/>
      <c r="C511" s="807"/>
      <c r="D511" s="808"/>
      <c r="E511" s="693"/>
      <c r="F511" s="809"/>
      <c r="G511" s="809"/>
      <c r="H511" s="809"/>
      <c r="I511" s="809"/>
      <c r="J511" s="809"/>
      <c r="K511" s="809"/>
      <c r="L511" s="809"/>
      <c r="M511" s="809"/>
      <c r="N511" s="809"/>
      <c r="O511" s="809"/>
      <c r="P511" s="809"/>
      <c r="Q511" s="809"/>
      <c r="R511" s="675"/>
      <c r="S511" s="675"/>
      <c r="T511" s="675"/>
      <c r="U511" s="678"/>
      <c r="V511" s="679"/>
      <c r="W511" s="675"/>
      <c r="X511" s="675"/>
      <c r="Y511" s="675"/>
      <c r="Z511" s="675"/>
    </row>
    <row r="512">
      <c r="A512" s="675"/>
      <c r="B512" s="677"/>
      <c r="C512" s="807"/>
      <c r="D512" s="808"/>
      <c r="E512" s="693"/>
      <c r="F512" s="809"/>
      <c r="G512" s="809"/>
      <c r="H512" s="809"/>
      <c r="I512" s="809"/>
      <c r="J512" s="809"/>
      <c r="K512" s="809"/>
      <c r="L512" s="809"/>
      <c r="M512" s="809"/>
      <c r="N512" s="809"/>
      <c r="O512" s="809"/>
      <c r="P512" s="809"/>
      <c r="Q512" s="809"/>
      <c r="R512" s="675"/>
      <c r="S512" s="675"/>
      <c r="T512" s="675"/>
      <c r="U512" s="678"/>
      <c r="V512" s="679"/>
      <c r="W512" s="675"/>
      <c r="X512" s="675"/>
      <c r="Y512" s="675"/>
      <c r="Z512" s="675"/>
    </row>
    <row r="513">
      <c r="A513" s="675"/>
      <c r="B513" s="677"/>
      <c r="C513" s="807"/>
      <c r="D513" s="808"/>
      <c r="E513" s="693"/>
      <c r="F513" s="809"/>
      <c r="G513" s="809"/>
      <c r="H513" s="809"/>
      <c r="I513" s="809"/>
      <c r="J513" s="809"/>
      <c r="K513" s="809"/>
      <c r="L513" s="809"/>
      <c r="M513" s="809"/>
      <c r="N513" s="809"/>
      <c r="O513" s="809"/>
      <c r="P513" s="809"/>
      <c r="Q513" s="809"/>
      <c r="R513" s="675"/>
      <c r="S513" s="675"/>
      <c r="T513" s="675"/>
      <c r="U513" s="678"/>
      <c r="V513" s="679"/>
      <c r="W513" s="675"/>
      <c r="X513" s="675"/>
      <c r="Y513" s="675"/>
      <c r="Z513" s="675"/>
    </row>
    <row r="514">
      <c r="A514" s="675"/>
      <c r="B514" s="677"/>
      <c r="C514" s="807"/>
      <c r="D514" s="808"/>
      <c r="E514" s="693"/>
      <c r="F514" s="809"/>
      <c r="G514" s="809"/>
      <c r="H514" s="809"/>
      <c r="I514" s="809"/>
      <c r="J514" s="809"/>
      <c r="K514" s="809"/>
      <c r="L514" s="809"/>
      <c r="M514" s="809"/>
      <c r="N514" s="809"/>
      <c r="O514" s="809"/>
      <c r="P514" s="809"/>
      <c r="Q514" s="809"/>
      <c r="R514" s="675"/>
      <c r="S514" s="675"/>
      <c r="T514" s="675"/>
      <c r="U514" s="678"/>
      <c r="V514" s="679"/>
      <c r="W514" s="675"/>
      <c r="X514" s="675"/>
      <c r="Y514" s="675"/>
      <c r="Z514" s="675"/>
    </row>
    <row r="515">
      <c r="A515" s="675"/>
      <c r="B515" s="677"/>
      <c r="C515" s="807"/>
      <c r="D515" s="808"/>
      <c r="E515" s="693"/>
      <c r="F515" s="809"/>
      <c r="G515" s="809"/>
      <c r="H515" s="809"/>
      <c r="I515" s="809"/>
      <c r="J515" s="809"/>
      <c r="K515" s="809"/>
      <c r="L515" s="809"/>
      <c r="M515" s="809"/>
      <c r="N515" s="809"/>
      <c r="O515" s="809"/>
      <c r="P515" s="809"/>
      <c r="Q515" s="809"/>
      <c r="R515" s="675"/>
      <c r="S515" s="675"/>
      <c r="T515" s="675"/>
      <c r="U515" s="678"/>
      <c r="V515" s="679"/>
      <c r="W515" s="675"/>
      <c r="X515" s="675"/>
      <c r="Y515" s="675"/>
      <c r="Z515" s="675"/>
    </row>
    <row r="516">
      <c r="A516" s="675"/>
      <c r="B516" s="677"/>
      <c r="C516" s="807"/>
      <c r="D516" s="808"/>
      <c r="E516" s="693"/>
      <c r="F516" s="809"/>
      <c r="G516" s="809"/>
      <c r="H516" s="809"/>
      <c r="I516" s="809"/>
      <c r="J516" s="809"/>
      <c r="K516" s="809"/>
      <c r="L516" s="809"/>
      <c r="M516" s="809"/>
      <c r="N516" s="809"/>
      <c r="O516" s="809"/>
      <c r="P516" s="809"/>
      <c r="Q516" s="809"/>
      <c r="R516" s="675"/>
      <c r="S516" s="675"/>
      <c r="T516" s="675"/>
      <c r="U516" s="678"/>
      <c r="V516" s="679"/>
      <c r="W516" s="675"/>
      <c r="X516" s="675"/>
      <c r="Y516" s="675"/>
      <c r="Z516" s="675"/>
    </row>
    <row r="517">
      <c r="A517" s="675"/>
      <c r="B517" s="677"/>
      <c r="C517" s="807"/>
      <c r="D517" s="808"/>
      <c r="E517" s="693"/>
      <c r="F517" s="809"/>
      <c r="G517" s="809"/>
      <c r="H517" s="809"/>
      <c r="I517" s="809"/>
      <c r="J517" s="809"/>
      <c r="K517" s="809"/>
      <c r="L517" s="809"/>
      <c r="M517" s="809"/>
      <c r="N517" s="809"/>
      <c r="O517" s="809"/>
      <c r="P517" s="809"/>
      <c r="Q517" s="809"/>
      <c r="R517" s="675"/>
      <c r="S517" s="675"/>
      <c r="T517" s="675"/>
      <c r="U517" s="678"/>
      <c r="V517" s="679"/>
      <c r="W517" s="675"/>
      <c r="X517" s="675"/>
      <c r="Y517" s="675"/>
      <c r="Z517" s="675"/>
    </row>
    <row r="518">
      <c r="A518" s="675"/>
      <c r="B518" s="677"/>
      <c r="C518" s="807"/>
      <c r="D518" s="808"/>
      <c r="E518" s="693"/>
      <c r="F518" s="809"/>
      <c r="G518" s="809"/>
      <c r="H518" s="809"/>
      <c r="I518" s="809"/>
      <c r="J518" s="809"/>
      <c r="K518" s="809"/>
      <c r="L518" s="809"/>
      <c r="M518" s="809"/>
      <c r="N518" s="809"/>
      <c r="O518" s="809"/>
      <c r="P518" s="809"/>
      <c r="Q518" s="809"/>
      <c r="R518" s="675"/>
      <c r="S518" s="675"/>
      <c r="T518" s="675"/>
      <c r="U518" s="678"/>
      <c r="V518" s="679"/>
      <c r="W518" s="675"/>
      <c r="X518" s="675"/>
      <c r="Y518" s="675"/>
      <c r="Z518" s="675"/>
    </row>
    <row r="519">
      <c r="A519" s="675"/>
      <c r="B519" s="677"/>
      <c r="C519" s="807"/>
      <c r="D519" s="808"/>
      <c r="E519" s="693"/>
      <c r="F519" s="809"/>
      <c r="G519" s="809"/>
      <c r="H519" s="809"/>
      <c r="I519" s="809"/>
      <c r="J519" s="809"/>
      <c r="K519" s="809"/>
      <c r="L519" s="809"/>
      <c r="M519" s="809"/>
      <c r="N519" s="809"/>
      <c r="O519" s="809"/>
      <c r="P519" s="809"/>
      <c r="Q519" s="809"/>
      <c r="R519" s="675"/>
      <c r="S519" s="675"/>
      <c r="T519" s="675"/>
      <c r="U519" s="678"/>
      <c r="V519" s="679"/>
      <c r="W519" s="675"/>
      <c r="X519" s="675"/>
      <c r="Y519" s="675"/>
      <c r="Z519" s="675"/>
    </row>
    <row r="520">
      <c r="A520" s="675"/>
      <c r="B520" s="677"/>
      <c r="C520" s="807"/>
      <c r="D520" s="808"/>
      <c r="E520" s="693"/>
      <c r="F520" s="809"/>
      <c r="G520" s="809"/>
      <c r="H520" s="809"/>
      <c r="I520" s="809"/>
      <c r="J520" s="809"/>
      <c r="K520" s="809"/>
      <c r="L520" s="809"/>
      <c r="M520" s="809"/>
      <c r="N520" s="809"/>
      <c r="O520" s="809"/>
      <c r="P520" s="809"/>
      <c r="Q520" s="809"/>
      <c r="R520" s="675"/>
      <c r="S520" s="675"/>
      <c r="T520" s="675"/>
      <c r="U520" s="678"/>
      <c r="V520" s="679"/>
      <c r="W520" s="675"/>
      <c r="X520" s="675"/>
      <c r="Y520" s="675"/>
      <c r="Z520" s="675"/>
    </row>
    <row r="521">
      <c r="A521" s="675"/>
      <c r="B521" s="677"/>
      <c r="C521" s="807"/>
      <c r="D521" s="808"/>
      <c r="E521" s="693"/>
      <c r="F521" s="809"/>
      <c r="G521" s="809"/>
      <c r="H521" s="809"/>
      <c r="I521" s="809"/>
      <c r="J521" s="809"/>
      <c r="K521" s="809"/>
      <c r="L521" s="809"/>
      <c r="M521" s="809"/>
      <c r="N521" s="809"/>
      <c r="O521" s="809"/>
      <c r="P521" s="809"/>
      <c r="Q521" s="809"/>
      <c r="R521" s="675"/>
      <c r="S521" s="675"/>
      <c r="T521" s="675"/>
      <c r="U521" s="678"/>
      <c r="V521" s="679"/>
      <c r="W521" s="675"/>
      <c r="X521" s="675"/>
      <c r="Y521" s="675"/>
      <c r="Z521" s="675"/>
    </row>
    <row r="522">
      <c r="A522" s="675"/>
      <c r="B522" s="677"/>
      <c r="C522" s="807"/>
      <c r="D522" s="808"/>
      <c r="E522" s="693"/>
      <c r="F522" s="809"/>
      <c r="G522" s="809"/>
      <c r="H522" s="809"/>
      <c r="I522" s="809"/>
      <c r="J522" s="809"/>
      <c r="K522" s="809"/>
      <c r="L522" s="809"/>
      <c r="M522" s="809"/>
      <c r="N522" s="809"/>
      <c r="O522" s="809"/>
      <c r="P522" s="809"/>
      <c r="Q522" s="809"/>
      <c r="R522" s="675"/>
      <c r="S522" s="675"/>
      <c r="T522" s="675"/>
      <c r="U522" s="678"/>
      <c r="V522" s="679"/>
      <c r="W522" s="675"/>
      <c r="X522" s="675"/>
      <c r="Y522" s="675"/>
      <c r="Z522" s="675"/>
    </row>
    <row r="523">
      <c r="A523" s="675"/>
      <c r="B523" s="677"/>
      <c r="C523" s="807"/>
      <c r="D523" s="808"/>
      <c r="E523" s="693"/>
      <c r="F523" s="809"/>
      <c r="G523" s="809"/>
      <c r="H523" s="809"/>
      <c r="I523" s="809"/>
      <c r="J523" s="809"/>
      <c r="K523" s="809"/>
      <c r="L523" s="809"/>
      <c r="M523" s="809"/>
      <c r="N523" s="809"/>
      <c r="O523" s="809"/>
      <c r="P523" s="809"/>
      <c r="Q523" s="809"/>
      <c r="R523" s="675"/>
      <c r="S523" s="675"/>
      <c r="T523" s="675"/>
      <c r="U523" s="678"/>
      <c r="V523" s="679"/>
      <c r="W523" s="675"/>
      <c r="X523" s="675"/>
      <c r="Y523" s="675"/>
      <c r="Z523" s="675"/>
    </row>
    <row r="524">
      <c r="A524" s="675"/>
      <c r="B524" s="677"/>
      <c r="C524" s="807"/>
      <c r="D524" s="808"/>
      <c r="E524" s="693"/>
      <c r="F524" s="809"/>
      <c r="G524" s="809"/>
      <c r="H524" s="809"/>
      <c r="I524" s="809"/>
      <c r="J524" s="809"/>
      <c r="K524" s="809"/>
      <c r="L524" s="809"/>
      <c r="M524" s="809"/>
      <c r="N524" s="809"/>
      <c r="O524" s="809"/>
      <c r="P524" s="809"/>
      <c r="Q524" s="809"/>
      <c r="R524" s="675"/>
      <c r="S524" s="675"/>
      <c r="T524" s="675"/>
      <c r="U524" s="678"/>
      <c r="V524" s="679"/>
      <c r="W524" s="675"/>
      <c r="X524" s="675"/>
      <c r="Y524" s="675"/>
      <c r="Z524" s="675"/>
    </row>
    <row r="525">
      <c r="A525" s="675"/>
      <c r="B525" s="677"/>
      <c r="C525" s="807"/>
      <c r="D525" s="808"/>
      <c r="E525" s="693"/>
      <c r="F525" s="809"/>
      <c r="G525" s="809"/>
      <c r="H525" s="809"/>
      <c r="I525" s="809"/>
      <c r="J525" s="809"/>
      <c r="K525" s="809"/>
      <c r="L525" s="809"/>
      <c r="M525" s="809"/>
      <c r="N525" s="809"/>
      <c r="O525" s="809"/>
      <c r="P525" s="809"/>
      <c r="Q525" s="809"/>
      <c r="R525" s="675"/>
      <c r="S525" s="675"/>
      <c r="T525" s="675"/>
      <c r="U525" s="678"/>
      <c r="V525" s="679"/>
      <c r="W525" s="675"/>
      <c r="X525" s="675"/>
      <c r="Y525" s="675"/>
      <c r="Z525" s="675"/>
    </row>
    <row r="526">
      <c r="A526" s="675"/>
      <c r="B526" s="677"/>
      <c r="C526" s="807"/>
      <c r="D526" s="808"/>
      <c r="E526" s="693"/>
      <c r="F526" s="809"/>
      <c r="G526" s="809"/>
      <c r="H526" s="809"/>
      <c r="I526" s="809"/>
      <c r="J526" s="809"/>
      <c r="K526" s="809"/>
      <c r="L526" s="809"/>
      <c r="M526" s="809"/>
      <c r="N526" s="809"/>
      <c r="O526" s="809"/>
      <c r="P526" s="809"/>
      <c r="Q526" s="809"/>
      <c r="R526" s="675"/>
      <c r="S526" s="675"/>
      <c r="T526" s="675"/>
      <c r="U526" s="678"/>
      <c r="V526" s="679"/>
      <c r="W526" s="675"/>
      <c r="X526" s="675"/>
      <c r="Y526" s="675"/>
      <c r="Z526" s="675"/>
    </row>
    <row r="527">
      <c r="A527" s="675"/>
      <c r="B527" s="677"/>
      <c r="C527" s="807"/>
      <c r="D527" s="808"/>
      <c r="E527" s="693"/>
      <c r="F527" s="809"/>
      <c r="G527" s="809"/>
      <c r="H527" s="809"/>
      <c r="I527" s="809"/>
      <c r="J527" s="809"/>
      <c r="K527" s="809"/>
      <c r="L527" s="809"/>
      <c r="M527" s="809"/>
      <c r="N527" s="809"/>
      <c r="O527" s="809"/>
      <c r="P527" s="809"/>
      <c r="Q527" s="809"/>
      <c r="R527" s="675"/>
      <c r="S527" s="675"/>
      <c r="T527" s="675"/>
      <c r="U527" s="678"/>
      <c r="V527" s="679"/>
      <c r="W527" s="675"/>
      <c r="X527" s="675"/>
      <c r="Y527" s="675"/>
      <c r="Z527" s="675"/>
    </row>
    <row r="528">
      <c r="A528" s="675"/>
      <c r="B528" s="677"/>
      <c r="C528" s="807"/>
      <c r="D528" s="808"/>
      <c r="E528" s="693"/>
      <c r="F528" s="809"/>
      <c r="G528" s="809"/>
      <c r="H528" s="809"/>
      <c r="I528" s="809"/>
      <c r="J528" s="809"/>
      <c r="K528" s="809"/>
      <c r="L528" s="809"/>
      <c r="M528" s="809"/>
      <c r="N528" s="809"/>
      <c r="O528" s="809"/>
      <c r="P528" s="809"/>
      <c r="Q528" s="809"/>
      <c r="R528" s="675"/>
      <c r="S528" s="675"/>
      <c r="T528" s="675"/>
      <c r="U528" s="678"/>
      <c r="V528" s="679"/>
      <c r="W528" s="675"/>
      <c r="X528" s="675"/>
      <c r="Y528" s="675"/>
      <c r="Z528" s="675"/>
    </row>
    <row r="529">
      <c r="A529" s="675"/>
      <c r="B529" s="677"/>
      <c r="C529" s="807"/>
      <c r="D529" s="808"/>
      <c r="E529" s="693"/>
      <c r="F529" s="809"/>
      <c r="G529" s="809"/>
      <c r="H529" s="809"/>
      <c r="I529" s="809"/>
      <c r="J529" s="809"/>
      <c r="K529" s="809"/>
      <c r="L529" s="809"/>
      <c r="M529" s="809"/>
      <c r="N529" s="809"/>
      <c r="O529" s="809"/>
      <c r="P529" s="809"/>
      <c r="Q529" s="809"/>
      <c r="R529" s="675"/>
      <c r="S529" s="675"/>
      <c r="T529" s="675"/>
      <c r="U529" s="678"/>
      <c r="V529" s="679"/>
      <c r="W529" s="675"/>
      <c r="X529" s="675"/>
      <c r="Y529" s="675"/>
      <c r="Z529" s="675"/>
    </row>
    <row r="530">
      <c r="A530" s="675"/>
      <c r="B530" s="677"/>
      <c r="C530" s="807"/>
      <c r="D530" s="808"/>
      <c r="E530" s="693"/>
      <c r="F530" s="809"/>
      <c r="G530" s="809"/>
      <c r="H530" s="809"/>
      <c r="I530" s="809"/>
      <c r="J530" s="809"/>
      <c r="K530" s="809"/>
      <c r="L530" s="809"/>
      <c r="M530" s="809"/>
      <c r="N530" s="809"/>
      <c r="O530" s="809"/>
      <c r="P530" s="809"/>
      <c r="Q530" s="809"/>
      <c r="R530" s="675"/>
      <c r="S530" s="675"/>
      <c r="T530" s="675"/>
      <c r="U530" s="678"/>
      <c r="V530" s="679"/>
      <c r="W530" s="675"/>
      <c r="X530" s="675"/>
      <c r="Y530" s="675"/>
      <c r="Z530" s="675"/>
    </row>
    <row r="531">
      <c r="A531" s="675"/>
      <c r="B531" s="677"/>
      <c r="C531" s="807"/>
      <c r="D531" s="808"/>
      <c r="E531" s="693"/>
      <c r="F531" s="809"/>
      <c r="G531" s="809"/>
      <c r="H531" s="809"/>
      <c r="I531" s="809"/>
      <c r="J531" s="809"/>
      <c r="K531" s="809"/>
      <c r="L531" s="809"/>
      <c r="M531" s="809"/>
      <c r="N531" s="809"/>
      <c r="O531" s="809"/>
      <c r="P531" s="809"/>
      <c r="Q531" s="809"/>
      <c r="R531" s="675"/>
      <c r="S531" s="675"/>
      <c r="T531" s="675"/>
      <c r="U531" s="678"/>
      <c r="V531" s="679"/>
      <c r="W531" s="675"/>
      <c r="X531" s="675"/>
      <c r="Y531" s="675"/>
      <c r="Z531" s="675"/>
    </row>
    <row r="532">
      <c r="A532" s="675"/>
      <c r="B532" s="677"/>
      <c r="C532" s="807"/>
      <c r="D532" s="808"/>
      <c r="E532" s="693"/>
      <c r="F532" s="809"/>
      <c r="G532" s="809"/>
      <c r="H532" s="809"/>
      <c r="I532" s="809"/>
      <c r="J532" s="809"/>
      <c r="K532" s="809"/>
      <c r="L532" s="809"/>
      <c r="M532" s="809"/>
      <c r="N532" s="809"/>
      <c r="O532" s="809"/>
      <c r="P532" s="809"/>
      <c r="Q532" s="809"/>
      <c r="R532" s="675"/>
      <c r="S532" s="675"/>
      <c r="T532" s="675"/>
      <c r="U532" s="678"/>
      <c r="V532" s="679"/>
      <c r="W532" s="675"/>
      <c r="X532" s="675"/>
      <c r="Y532" s="675"/>
      <c r="Z532" s="675"/>
    </row>
    <row r="533">
      <c r="A533" s="675"/>
      <c r="B533" s="677"/>
      <c r="C533" s="807"/>
      <c r="D533" s="808"/>
      <c r="E533" s="693"/>
      <c r="F533" s="809"/>
      <c r="G533" s="809"/>
      <c r="H533" s="809"/>
      <c r="I533" s="809"/>
      <c r="J533" s="809"/>
      <c r="K533" s="809"/>
      <c r="L533" s="809"/>
      <c r="M533" s="809"/>
      <c r="N533" s="809"/>
      <c r="O533" s="809"/>
      <c r="P533" s="809"/>
      <c r="Q533" s="809"/>
      <c r="R533" s="675"/>
      <c r="S533" s="675"/>
      <c r="T533" s="675"/>
      <c r="U533" s="678"/>
      <c r="V533" s="679"/>
      <c r="W533" s="675"/>
      <c r="X533" s="675"/>
      <c r="Y533" s="675"/>
      <c r="Z533" s="675"/>
    </row>
    <row r="534">
      <c r="A534" s="675"/>
      <c r="B534" s="677"/>
      <c r="C534" s="807"/>
      <c r="D534" s="808"/>
      <c r="E534" s="693"/>
      <c r="F534" s="809"/>
      <c r="G534" s="809"/>
      <c r="H534" s="809"/>
      <c r="I534" s="809"/>
      <c r="J534" s="809"/>
      <c r="K534" s="809"/>
      <c r="L534" s="809"/>
      <c r="M534" s="809"/>
      <c r="N534" s="809"/>
      <c r="O534" s="809"/>
      <c r="P534" s="809"/>
      <c r="Q534" s="809"/>
      <c r="R534" s="675"/>
      <c r="S534" s="675"/>
      <c r="T534" s="675"/>
      <c r="U534" s="678"/>
      <c r="V534" s="679"/>
      <c r="W534" s="675"/>
      <c r="X534" s="675"/>
      <c r="Y534" s="675"/>
      <c r="Z534" s="675"/>
    </row>
    <row r="535">
      <c r="A535" s="675"/>
      <c r="B535" s="677"/>
      <c r="C535" s="807"/>
      <c r="D535" s="808"/>
      <c r="E535" s="693"/>
      <c r="F535" s="809"/>
      <c r="G535" s="809"/>
      <c r="H535" s="809"/>
      <c r="I535" s="809"/>
      <c r="J535" s="809"/>
      <c r="K535" s="809"/>
      <c r="L535" s="809"/>
      <c r="M535" s="809"/>
      <c r="N535" s="809"/>
      <c r="O535" s="809"/>
      <c r="P535" s="809"/>
      <c r="Q535" s="809"/>
      <c r="R535" s="675"/>
      <c r="S535" s="675"/>
      <c r="T535" s="675"/>
      <c r="U535" s="678"/>
      <c r="V535" s="679"/>
      <c r="W535" s="675"/>
      <c r="X535" s="675"/>
      <c r="Y535" s="675"/>
      <c r="Z535" s="675"/>
    </row>
    <row r="536">
      <c r="A536" s="675"/>
      <c r="B536" s="677"/>
      <c r="C536" s="807"/>
      <c r="D536" s="808"/>
      <c r="E536" s="693"/>
      <c r="F536" s="809"/>
      <c r="G536" s="809"/>
      <c r="H536" s="809"/>
      <c r="I536" s="809"/>
      <c r="J536" s="809"/>
      <c r="K536" s="809"/>
      <c r="L536" s="809"/>
      <c r="M536" s="809"/>
      <c r="N536" s="809"/>
      <c r="O536" s="809"/>
      <c r="P536" s="809"/>
      <c r="Q536" s="809"/>
      <c r="R536" s="675"/>
      <c r="S536" s="675"/>
      <c r="T536" s="675"/>
      <c r="U536" s="678"/>
      <c r="V536" s="679"/>
      <c r="W536" s="675"/>
      <c r="X536" s="675"/>
      <c r="Y536" s="675"/>
      <c r="Z536" s="675"/>
    </row>
    <row r="537">
      <c r="A537" s="675"/>
      <c r="B537" s="677"/>
      <c r="C537" s="807"/>
      <c r="D537" s="808"/>
      <c r="E537" s="693"/>
      <c r="F537" s="809"/>
      <c r="G537" s="809"/>
      <c r="H537" s="809"/>
      <c r="I537" s="809"/>
      <c r="J537" s="809"/>
      <c r="K537" s="809"/>
      <c r="L537" s="809"/>
      <c r="M537" s="809"/>
      <c r="N537" s="809"/>
      <c r="O537" s="809"/>
      <c r="P537" s="809"/>
      <c r="Q537" s="809"/>
      <c r="R537" s="675"/>
      <c r="S537" s="675"/>
      <c r="T537" s="675"/>
      <c r="U537" s="678"/>
      <c r="V537" s="679"/>
      <c r="W537" s="675"/>
      <c r="X537" s="675"/>
      <c r="Y537" s="675"/>
      <c r="Z537" s="675"/>
    </row>
    <row r="538">
      <c r="A538" s="675"/>
      <c r="B538" s="677"/>
      <c r="C538" s="807"/>
      <c r="D538" s="808"/>
      <c r="E538" s="693"/>
      <c r="F538" s="809"/>
      <c r="G538" s="809"/>
      <c r="H538" s="809"/>
      <c r="I538" s="809"/>
      <c r="J538" s="809"/>
      <c r="K538" s="809"/>
      <c r="L538" s="809"/>
      <c r="M538" s="809"/>
      <c r="N538" s="809"/>
      <c r="O538" s="809"/>
      <c r="P538" s="809"/>
      <c r="Q538" s="809"/>
      <c r="R538" s="675"/>
      <c r="S538" s="675"/>
      <c r="T538" s="675"/>
      <c r="U538" s="678"/>
      <c r="V538" s="679"/>
      <c r="W538" s="675"/>
      <c r="X538" s="675"/>
      <c r="Y538" s="675"/>
      <c r="Z538" s="675"/>
    </row>
    <row r="539">
      <c r="A539" s="675"/>
      <c r="B539" s="677"/>
      <c r="C539" s="807"/>
      <c r="D539" s="808"/>
      <c r="E539" s="693"/>
      <c r="F539" s="809"/>
      <c r="G539" s="809"/>
      <c r="H539" s="809"/>
      <c r="I539" s="809"/>
      <c r="J539" s="809"/>
      <c r="K539" s="809"/>
      <c r="L539" s="809"/>
      <c r="M539" s="809"/>
      <c r="N539" s="809"/>
      <c r="O539" s="809"/>
      <c r="P539" s="809"/>
      <c r="Q539" s="809"/>
      <c r="R539" s="675"/>
      <c r="S539" s="675"/>
      <c r="T539" s="675"/>
      <c r="U539" s="678"/>
      <c r="V539" s="679"/>
      <c r="W539" s="675"/>
      <c r="X539" s="675"/>
      <c r="Y539" s="675"/>
      <c r="Z539" s="675"/>
    </row>
    <row r="540">
      <c r="A540" s="675"/>
      <c r="B540" s="677"/>
      <c r="C540" s="807"/>
      <c r="D540" s="808"/>
      <c r="E540" s="693"/>
      <c r="F540" s="809"/>
      <c r="G540" s="809"/>
      <c r="H540" s="809"/>
      <c r="I540" s="809"/>
      <c r="J540" s="809"/>
      <c r="K540" s="809"/>
      <c r="L540" s="809"/>
      <c r="M540" s="809"/>
      <c r="N540" s="809"/>
      <c r="O540" s="809"/>
      <c r="P540" s="809"/>
      <c r="Q540" s="809"/>
      <c r="R540" s="675"/>
      <c r="S540" s="675"/>
      <c r="T540" s="675"/>
      <c r="U540" s="678"/>
      <c r="V540" s="679"/>
      <c r="W540" s="675"/>
      <c r="X540" s="675"/>
      <c r="Y540" s="675"/>
      <c r="Z540" s="675"/>
    </row>
    <row r="541">
      <c r="A541" s="675"/>
      <c r="B541" s="677"/>
      <c r="C541" s="807"/>
      <c r="D541" s="808"/>
      <c r="E541" s="693"/>
      <c r="F541" s="809"/>
      <c r="G541" s="809"/>
      <c r="H541" s="809"/>
      <c r="I541" s="809"/>
      <c r="J541" s="809"/>
      <c r="K541" s="809"/>
      <c r="L541" s="809"/>
      <c r="M541" s="809"/>
      <c r="N541" s="809"/>
      <c r="O541" s="809"/>
      <c r="P541" s="809"/>
      <c r="Q541" s="809"/>
      <c r="R541" s="675"/>
      <c r="S541" s="675"/>
      <c r="T541" s="675"/>
      <c r="U541" s="678"/>
      <c r="V541" s="679"/>
      <c r="W541" s="675"/>
      <c r="X541" s="675"/>
      <c r="Y541" s="675"/>
      <c r="Z541" s="675"/>
    </row>
    <row r="542">
      <c r="A542" s="675"/>
      <c r="B542" s="677"/>
      <c r="C542" s="807"/>
      <c r="D542" s="808"/>
      <c r="E542" s="693"/>
      <c r="F542" s="809"/>
      <c r="G542" s="809"/>
      <c r="H542" s="809"/>
      <c r="I542" s="809"/>
      <c r="J542" s="809"/>
      <c r="K542" s="809"/>
      <c r="L542" s="809"/>
      <c r="M542" s="809"/>
      <c r="N542" s="809"/>
      <c r="O542" s="809"/>
      <c r="P542" s="809"/>
      <c r="Q542" s="809"/>
      <c r="R542" s="675"/>
      <c r="S542" s="675"/>
      <c r="T542" s="675"/>
      <c r="U542" s="678"/>
      <c r="V542" s="679"/>
      <c r="W542" s="675"/>
      <c r="X542" s="675"/>
      <c r="Y542" s="675"/>
      <c r="Z542" s="675"/>
    </row>
    <row r="543">
      <c r="A543" s="675"/>
      <c r="B543" s="677"/>
      <c r="C543" s="807"/>
      <c r="D543" s="808"/>
      <c r="E543" s="693"/>
      <c r="F543" s="809"/>
      <c r="G543" s="809"/>
      <c r="H543" s="809"/>
      <c r="I543" s="809"/>
      <c r="J543" s="809"/>
      <c r="K543" s="809"/>
      <c r="L543" s="809"/>
      <c r="M543" s="809"/>
      <c r="N543" s="809"/>
      <c r="O543" s="809"/>
      <c r="P543" s="809"/>
      <c r="Q543" s="809"/>
      <c r="R543" s="675"/>
      <c r="S543" s="675"/>
      <c r="T543" s="675"/>
      <c r="U543" s="678"/>
      <c r="V543" s="679"/>
      <c r="W543" s="675"/>
      <c r="X543" s="675"/>
      <c r="Y543" s="675"/>
      <c r="Z543" s="675"/>
    </row>
    <row r="544">
      <c r="A544" s="675"/>
      <c r="B544" s="677"/>
      <c r="C544" s="807"/>
      <c r="D544" s="808"/>
      <c r="E544" s="693"/>
      <c r="F544" s="809"/>
      <c r="G544" s="809"/>
      <c r="H544" s="809"/>
      <c r="I544" s="809"/>
      <c r="J544" s="809"/>
      <c r="K544" s="809"/>
      <c r="L544" s="809"/>
      <c r="M544" s="809"/>
      <c r="N544" s="809"/>
      <c r="O544" s="809"/>
      <c r="P544" s="809"/>
      <c r="Q544" s="809"/>
      <c r="R544" s="675"/>
      <c r="S544" s="675"/>
      <c r="T544" s="675"/>
      <c r="U544" s="678"/>
      <c r="V544" s="679"/>
      <c r="W544" s="675"/>
      <c r="X544" s="675"/>
      <c r="Y544" s="675"/>
      <c r="Z544" s="675"/>
    </row>
    <row r="545">
      <c r="A545" s="675"/>
      <c r="B545" s="677"/>
      <c r="C545" s="807"/>
      <c r="D545" s="808"/>
      <c r="E545" s="693"/>
      <c r="F545" s="809"/>
      <c r="G545" s="809"/>
      <c r="H545" s="809"/>
      <c r="I545" s="809"/>
      <c r="J545" s="809"/>
      <c r="K545" s="809"/>
      <c r="L545" s="809"/>
      <c r="M545" s="809"/>
      <c r="N545" s="809"/>
      <c r="O545" s="809"/>
      <c r="P545" s="809"/>
      <c r="Q545" s="809"/>
      <c r="R545" s="675"/>
      <c r="S545" s="675"/>
      <c r="T545" s="675"/>
      <c r="U545" s="678"/>
      <c r="V545" s="679"/>
      <c r="W545" s="675"/>
      <c r="X545" s="675"/>
      <c r="Y545" s="675"/>
      <c r="Z545" s="675"/>
    </row>
    <row r="546">
      <c r="A546" s="675"/>
      <c r="B546" s="677"/>
      <c r="C546" s="807"/>
      <c r="D546" s="808"/>
      <c r="E546" s="693"/>
      <c r="F546" s="809"/>
      <c r="G546" s="809"/>
      <c r="H546" s="809"/>
      <c r="I546" s="809"/>
      <c r="J546" s="809"/>
      <c r="K546" s="809"/>
      <c r="L546" s="809"/>
      <c r="M546" s="809"/>
      <c r="N546" s="809"/>
      <c r="O546" s="809"/>
      <c r="P546" s="809"/>
      <c r="Q546" s="809"/>
      <c r="R546" s="675"/>
      <c r="S546" s="675"/>
      <c r="T546" s="675"/>
      <c r="U546" s="678"/>
      <c r="V546" s="679"/>
      <c r="W546" s="675"/>
      <c r="X546" s="675"/>
      <c r="Y546" s="675"/>
      <c r="Z546" s="675"/>
    </row>
    <row r="547">
      <c r="A547" s="675"/>
      <c r="B547" s="677"/>
      <c r="C547" s="807"/>
      <c r="D547" s="808"/>
      <c r="E547" s="693"/>
      <c r="F547" s="809"/>
      <c r="G547" s="809"/>
      <c r="H547" s="809"/>
      <c r="I547" s="809"/>
      <c r="J547" s="809"/>
      <c r="K547" s="809"/>
      <c r="L547" s="809"/>
      <c r="M547" s="809"/>
      <c r="N547" s="809"/>
      <c r="O547" s="809"/>
      <c r="P547" s="809"/>
      <c r="Q547" s="809"/>
      <c r="R547" s="675"/>
      <c r="S547" s="675"/>
      <c r="T547" s="675"/>
      <c r="U547" s="678"/>
      <c r="V547" s="679"/>
      <c r="W547" s="675"/>
      <c r="X547" s="675"/>
      <c r="Y547" s="675"/>
      <c r="Z547" s="675"/>
    </row>
    <row r="548">
      <c r="A548" s="675"/>
      <c r="B548" s="677"/>
      <c r="C548" s="807"/>
      <c r="D548" s="808"/>
      <c r="E548" s="693"/>
      <c r="F548" s="809"/>
      <c r="G548" s="809"/>
      <c r="H548" s="809"/>
      <c r="I548" s="809"/>
      <c r="J548" s="809"/>
      <c r="K548" s="809"/>
      <c r="L548" s="809"/>
      <c r="M548" s="809"/>
      <c r="N548" s="809"/>
      <c r="O548" s="809"/>
      <c r="P548" s="809"/>
      <c r="Q548" s="809"/>
      <c r="R548" s="675"/>
      <c r="S548" s="675"/>
      <c r="T548" s="675"/>
      <c r="U548" s="678"/>
      <c r="V548" s="679"/>
      <c r="W548" s="675"/>
      <c r="X548" s="675"/>
      <c r="Y548" s="675"/>
      <c r="Z548" s="675"/>
    </row>
    <row r="549">
      <c r="A549" s="675"/>
      <c r="B549" s="677"/>
      <c r="C549" s="807"/>
      <c r="D549" s="808"/>
      <c r="E549" s="693"/>
      <c r="F549" s="809"/>
      <c r="G549" s="809"/>
      <c r="H549" s="809"/>
      <c r="I549" s="809"/>
      <c r="J549" s="809"/>
      <c r="K549" s="809"/>
      <c r="L549" s="809"/>
      <c r="M549" s="809"/>
      <c r="N549" s="809"/>
      <c r="O549" s="809"/>
      <c r="P549" s="809"/>
      <c r="Q549" s="809"/>
      <c r="R549" s="675"/>
      <c r="S549" s="675"/>
      <c r="T549" s="675"/>
      <c r="U549" s="678"/>
      <c r="V549" s="679"/>
      <c r="W549" s="675"/>
      <c r="X549" s="675"/>
      <c r="Y549" s="675"/>
      <c r="Z549" s="675"/>
    </row>
    <row r="550">
      <c r="A550" s="675"/>
      <c r="B550" s="677"/>
      <c r="C550" s="807"/>
      <c r="D550" s="808"/>
      <c r="E550" s="693"/>
      <c r="F550" s="809"/>
      <c r="G550" s="809"/>
      <c r="H550" s="809"/>
      <c r="I550" s="809"/>
      <c r="J550" s="809"/>
      <c r="K550" s="809"/>
      <c r="L550" s="809"/>
      <c r="M550" s="809"/>
      <c r="N550" s="809"/>
      <c r="O550" s="809"/>
      <c r="P550" s="809"/>
      <c r="Q550" s="809"/>
      <c r="R550" s="675"/>
      <c r="S550" s="675"/>
      <c r="T550" s="675"/>
      <c r="U550" s="678"/>
      <c r="V550" s="679"/>
      <c r="W550" s="675"/>
      <c r="X550" s="675"/>
      <c r="Y550" s="675"/>
      <c r="Z550" s="675"/>
    </row>
    <row r="551">
      <c r="A551" s="675"/>
      <c r="B551" s="677"/>
      <c r="C551" s="807"/>
      <c r="D551" s="808"/>
      <c r="E551" s="693"/>
      <c r="F551" s="809"/>
      <c r="G551" s="809"/>
      <c r="H551" s="809"/>
      <c r="I551" s="809"/>
      <c r="J551" s="809"/>
      <c r="K551" s="809"/>
      <c r="L551" s="809"/>
      <c r="M551" s="809"/>
      <c r="N551" s="809"/>
      <c r="O551" s="809"/>
      <c r="P551" s="809"/>
      <c r="Q551" s="809"/>
      <c r="R551" s="675"/>
      <c r="S551" s="675"/>
      <c r="T551" s="675"/>
      <c r="U551" s="678"/>
      <c r="V551" s="679"/>
      <c r="W551" s="675"/>
      <c r="X551" s="675"/>
      <c r="Y551" s="675"/>
      <c r="Z551" s="675"/>
    </row>
    <row r="552">
      <c r="A552" s="675"/>
      <c r="B552" s="677"/>
      <c r="C552" s="807"/>
      <c r="D552" s="808"/>
      <c r="E552" s="693"/>
      <c r="F552" s="809"/>
      <c r="G552" s="809"/>
      <c r="H552" s="809"/>
      <c r="I552" s="809"/>
      <c r="J552" s="809"/>
      <c r="K552" s="809"/>
      <c r="L552" s="809"/>
      <c r="M552" s="809"/>
      <c r="N552" s="809"/>
      <c r="O552" s="809"/>
      <c r="P552" s="809"/>
      <c r="Q552" s="809"/>
      <c r="R552" s="675"/>
      <c r="S552" s="675"/>
      <c r="T552" s="675"/>
      <c r="U552" s="678"/>
      <c r="V552" s="679"/>
      <c r="W552" s="675"/>
      <c r="X552" s="675"/>
      <c r="Y552" s="675"/>
      <c r="Z552" s="675"/>
    </row>
    <row r="553">
      <c r="A553" s="675"/>
      <c r="B553" s="677"/>
      <c r="C553" s="807"/>
      <c r="D553" s="808"/>
      <c r="E553" s="693"/>
      <c r="F553" s="809"/>
      <c r="G553" s="809"/>
      <c r="H553" s="809"/>
      <c r="I553" s="809"/>
      <c r="J553" s="809"/>
      <c r="K553" s="809"/>
      <c r="L553" s="809"/>
      <c r="M553" s="809"/>
      <c r="N553" s="809"/>
      <c r="O553" s="809"/>
      <c r="P553" s="809"/>
      <c r="Q553" s="809"/>
      <c r="R553" s="675"/>
      <c r="S553" s="675"/>
      <c r="T553" s="675"/>
      <c r="U553" s="678"/>
      <c r="V553" s="679"/>
      <c r="W553" s="675"/>
      <c r="X553" s="675"/>
      <c r="Y553" s="675"/>
      <c r="Z553" s="675"/>
    </row>
    <row r="554">
      <c r="A554" s="675"/>
      <c r="B554" s="677"/>
      <c r="C554" s="807"/>
      <c r="D554" s="808"/>
      <c r="E554" s="693"/>
      <c r="F554" s="809"/>
      <c r="G554" s="809"/>
      <c r="H554" s="809"/>
      <c r="I554" s="809"/>
      <c r="J554" s="809"/>
      <c r="K554" s="809"/>
      <c r="L554" s="809"/>
      <c r="M554" s="809"/>
      <c r="N554" s="809"/>
      <c r="O554" s="809"/>
      <c r="P554" s="809"/>
      <c r="Q554" s="809"/>
      <c r="R554" s="675"/>
      <c r="S554" s="675"/>
      <c r="T554" s="675"/>
      <c r="U554" s="678"/>
      <c r="V554" s="679"/>
      <c r="W554" s="675"/>
      <c r="X554" s="675"/>
      <c r="Y554" s="675"/>
      <c r="Z554" s="675"/>
    </row>
    <row r="555">
      <c r="A555" s="675"/>
      <c r="B555" s="677"/>
      <c r="C555" s="807"/>
      <c r="D555" s="808"/>
      <c r="E555" s="693"/>
      <c r="F555" s="809"/>
      <c r="G555" s="809"/>
      <c r="H555" s="809"/>
      <c r="I555" s="809"/>
      <c r="J555" s="809"/>
      <c r="K555" s="809"/>
      <c r="L555" s="809"/>
      <c r="M555" s="809"/>
      <c r="N555" s="809"/>
      <c r="O555" s="809"/>
      <c r="P555" s="809"/>
      <c r="Q555" s="809"/>
      <c r="R555" s="675"/>
      <c r="S555" s="675"/>
      <c r="T555" s="675"/>
      <c r="U555" s="678"/>
      <c r="V555" s="679"/>
      <c r="W555" s="675"/>
      <c r="X555" s="675"/>
      <c r="Y555" s="675"/>
      <c r="Z555" s="675"/>
    </row>
    <row r="556">
      <c r="A556" s="675"/>
      <c r="B556" s="677"/>
      <c r="C556" s="807"/>
      <c r="D556" s="808"/>
      <c r="E556" s="693"/>
      <c r="F556" s="809"/>
      <c r="G556" s="809"/>
      <c r="H556" s="809"/>
      <c r="I556" s="809"/>
      <c r="J556" s="809"/>
      <c r="K556" s="809"/>
      <c r="L556" s="809"/>
      <c r="M556" s="809"/>
      <c r="N556" s="809"/>
      <c r="O556" s="809"/>
      <c r="P556" s="809"/>
      <c r="Q556" s="809"/>
      <c r="R556" s="675"/>
      <c r="S556" s="675"/>
      <c r="T556" s="675"/>
      <c r="U556" s="678"/>
      <c r="V556" s="679"/>
      <c r="W556" s="675"/>
      <c r="X556" s="675"/>
      <c r="Y556" s="675"/>
      <c r="Z556" s="675"/>
    </row>
    <row r="557">
      <c r="A557" s="675"/>
      <c r="B557" s="677"/>
      <c r="C557" s="807"/>
      <c r="D557" s="808"/>
      <c r="E557" s="693"/>
      <c r="F557" s="809"/>
      <c r="G557" s="809"/>
      <c r="H557" s="809"/>
      <c r="I557" s="809"/>
      <c r="J557" s="809"/>
      <c r="K557" s="809"/>
      <c r="L557" s="809"/>
      <c r="M557" s="809"/>
      <c r="N557" s="809"/>
      <c r="O557" s="809"/>
      <c r="P557" s="809"/>
      <c r="Q557" s="809"/>
      <c r="R557" s="675"/>
      <c r="S557" s="675"/>
      <c r="T557" s="675"/>
      <c r="U557" s="678"/>
      <c r="V557" s="679"/>
      <c r="W557" s="675"/>
      <c r="X557" s="675"/>
      <c r="Y557" s="675"/>
      <c r="Z557" s="675"/>
    </row>
    <row r="558">
      <c r="A558" s="675"/>
      <c r="B558" s="677"/>
      <c r="C558" s="807"/>
      <c r="D558" s="808"/>
      <c r="E558" s="693"/>
      <c r="F558" s="809"/>
      <c r="G558" s="809"/>
      <c r="H558" s="809"/>
      <c r="I558" s="809"/>
      <c r="J558" s="809"/>
      <c r="K558" s="809"/>
      <c r="L558" s="809"/>
      <c r="M558" s="809"/>
      <c r="N558" s="809"/>
      <c r="O558" s="809"/>
      <c r="P558" s="809"/>
      <c r="Q558" s="809"/>
      <c r="R558" s="675"/>
      <c r="S558" s="675"/>
      <c r="T558" s="675"/>
      <c r="U558" s="678"/>
      <c r="V558" s="679"/>
      <c r="W558" s="675"/>
      <c r="X558" s="675"/>
      <c r="Y558" s="675"/>
      <c r="Z558" s="675"/>
    </row>
    <row r="559">
      <c r="A559" s="675"/>
      <c r="B559" s="677"/>
      <c r="C559" s="807"/>
      <c r="D559" s="808"/>
      <c r="E559" s="693"/>
      <c r="F559" s="809"/>
      <c r="G559" s="809"/>
      <c r="H559" s="809"/>
      <c r="I559" s="809"/>
      <c r="J559" s="809"/>
      <c r="K559" s="809"/>
      <c r="L559" s="809"/>
      <c r="M559" s="809"/>
      <c r="N559" s="809"/>
      <c r="O559" s="809"/>
      <c r="P559" s="809"/>
      <c r="Q559" s="809"/>
      <c r="R559" s="675"/>
      <c r="S559" s="675"/>
      <c r="T559" s="675"/>
      <c r="U559" s="678"/>
      <c r="V559" s="679"/>
      <c r="W559" s="675"/>
      <c r="X559" s="675"/>
      <c r="Y559" s="675"/>
      <c r="Z559" s="675"/>
    </row>
    <row r="560">
      <c r="A560" s="675"/>
      <c r="B560" s="677"/>
      <c r="C560" s="807"/>
      <c r="D560" s="808"/>
      <c r="E560" s="693"/>
      <c r="F560" s="809"/>
      <c r="G560" s="809"/>
      <c r="H560" s="809"/>
      <c r="I560" s="809"/>
      <c r="J560" s="809"/>
      <c r="K560" s="809"/>
      <c r="L560" s="809"/>
      <c r="M560" s="809"/>
      <c r="N560" s="809"/>
      <c r="O560" s="809"/>
      <c r="P560" s="809"/>
      <c r="Q560" s="809"/>
      <c r="R560" s="675"/>
      <c r="S560" s="675"/>
      <c r="T560" s="675"/>
      <c r="U560" s="678"/>
      <c r="V560" s="679"/>
      <c r="W560" s="675"/>
      <c r="X560" s="675"/>
      <c r="Y560" s="675"/>
      <c r="Z560" s="675"/>
    </row>
    <row r="561">
      <c r="A561" s="675"/>
      <c r="B561" s="677"/>
      <c r="C561" s="807"/>
      <c r="D561" s="808"/>
      <c r="E561" s="693"/>
      <c r="F561" s="809"/>
      <c r="G561" s="809"/>
      <c r="H561" s="809"/>
      <c r="I561" s="809"/>
      <c r="J561" s="809"/>
      <c r="K561" s="809"/>
      <c r="L561" s="809"/>
      <c r="M561" s="809"/>
      <c r="N561" s="809"/>
      <c r="O561" s="809"/>
      <c r="P561" s="809"/>
      <c r="Q561" s="809"/>
      <c r="R561" s="675"/>
      <c r="S561" s="675"/>
      <c r="T561" s="675"/>
      <c r="U561" s="678"/>
      <c r="V561" s="679"/>
      <c r="W561" s="675"/>
      <c r="X561" s="675"/>
      <c r="Y561" s="675"/>
      <c r="Z561" s="675"/>
    </row>
    <row r="562">
      <c r="A562" s="675"/>
      <c r="B562" s="677"/>
      <c r="C562" s="807"/>
      <c r="D562" s="808"/>
      <c r="E562" s="693"/>
      <c r="F562" s="809"/>
      <c r="G562" s="809"/>
      <c r="H562" s="809"/>
      <c r="I562" s="809"/>
      <c r="J562" s="809"/>
      <c r="K562" s="809"/>
      <c r="L562" s="809"/>
      <c r="M562" s="809"/>
      <c r="N562" s="809"/>
      <c r="O562" s="809"/>
      <c r="P562" s="809"/>
      <c r="Q562" s="809"/>
      <c r="R562" s="675"/>
      <c r="S562" s="675"/>
      <c r="T562" s="675"/>
      <c r="U562" s="678"/>
      <c r="V562" s="679"/>
      <c r="W562" s="675"/>
      <c r="X562" s="675"/>
      <c r="Y562" s="675"/>
      <c r="Z562" s="675"/>
    </row>
    <row r="563">
      <c r="A563" s="675"/>
      <c r="B563" s="677"/>
      <c r="C563" s="807"/>
      <c r="D563" s="808"/>
      <c r="E563" s="693"/>
      <c r="F563" s="809"/>
      <c r="G563" s="809"/>
      <c r="H563" s="809"/>
      <c r="I563" s="809"/>
      <c r="J563" s="809"/>
      <c r="K563" s="809"/>
      <c r="L563" s="809"/>
      <c r="M563" s="809"/>
      <c r="N563" s="809"/>
      <c r="O563" s="809"/>
      <c r="P563" s="809"/>
      <c r="Q563" s="809"/>
      <c r="R563" s="675"/>
      <c r="S563" s="675"/>
      <c r="T563" s="675"/>
      <c r="U563" s="678"/>
      <c r="V563" s="679"/>
      <c r="W563" s="675"/>
      <c r="X563" s="675"/>
      <c r="Y563" s="675"/>
      <c r="Z563" s="675"/>
    </row>
    <row r="564">
      <c r="A564" s="675"/>
      <c r="B564" s="677"/>
      <c r="C564" s="807"/>
      <c r="D564" s="808"/>
      <c r="E564" s="693"/>
      <c r="F564" s="809"/>
      <c r="G564" s="809"/>
      <c r="H564" s="809"/>
      <c r="I564" s="809"/>
      <c r="J564" s="809"/>
      <c r="K564" s="809"/>
      <c r="L564" s="809"/>
      <c r="M564" s="809"/>
      <c r="N564" s="809"/>
      <c r="O564" s="809"/>
      <c r="P564" s="809"/>
      <c r="Q564" s="809"/>
      <c r="R564" s="675"/>
      <c r="S564" s="675"/>
      <c r="T564" s="675"/>
      <c r="U564" s="678"/>
      <c r="V564" s="679"/>
      <c r="W564" s="675"/>
      <c r="X564" s="675"/>
      <c r="Y564" s="675"/>
      <c r="Z564" s="675"/>
    </row>
    <row r="565">
      <c r="A565" s="675"/>
      <c r="B565" s="677"/>
      <c r="C565" s="807"/>
      <c r="D565" s="808"/>
      <c r="E565" s="693"/>
      <c r="F565" s="809"/>
      <c r="G565" s="809"/>
      <c r="H565" s="809"/>
      <c r="I565" s="809"/>
      <c r="J565" s="809"/>
      <c r="K565" s="809"/>
      <c r="L565" s="809"/>
      <c r="M565" s="809"/>
      <c r="N565" s="809"/>
      <c r="O565" s="809"/>
      <c r="P565" s="809"/>
      <c r="Q565" s="809"/>
      <c r="R565" s="675"/>
      <c r="S565" s="675"/>
      <c r="T565" s="675"/>
      <c r="U565" s="678"/>
      <c r="V565" s="679"/>
      <c r="W565" s="675"/>
      <c r="X565" s="675"/>
      <c r="Y565" s="675"/>
      <c r="Z565" s="675"/>
    </row>
    <row r="566">
      <c r="A566" s="675"/>
      <c r="B566" s="677"/>
      <c r="C566" s="807"/>
      <c r="D566" s="808"/>
      <c r="E566" s="693"/>
      <c r="F566" s="809"/>
      <c r="G566" s="809"/>
      <c r="H566" s="809"/>
      <c r="I566" s="809"/>
      <c r="J566" s="809"/>
      <c r="K566" s="809"/>
      <c r="L566" s="809"/>
      <c r="M566" s="809"/>
      <c r="N566" s="809"/>
      <c r="O566" s="809"/>
      <c r="P566" s="809"/>
      <c r="Q566" s="809"/>
      <c r="R566" s="675"/>
      <c r="S566" s="675"/>
      <c r="T566" s="675"/>
      <c r="U566" s="678"/>
      <c r="V566" s="679"/>
      <c r="W566" s="675"/>
      <c r="X566" s="675"/>
      <c r="Y566" s="675"/>
      <c r="Z566" s="675"/>
    </row>
    <row r="567">
      <c r="A567" s="675"/>
      <c r="B567" s="677"/>
      <c r="C567" s="807"/>
      <c r="D567" s="808"/>
      <c r="E567" s="693"/>
      <c r="F567" s="809"/>
      <c r="G567" s="809"/>
      <c r="H567" s="809"/>
      <c r="I567" s="809"/>
      <c r="J567" s="809"/>
      <c r="K567" s="809"/>
      <c r="L567" s="809"/>
      <c r="M567" s="809"/>
      <c r="N567" s="809"/>
      <c r="O567" s="809"/>
      <c r="P567" s="809"/>
      <c r="Q567" s="809"/>
      <c r="R567" s="675"/>
      <c r="S567" s="675"/>
      <c r="T567" s="675"/>
      <c r="U567" s="678"/>
      <c r="V567" s="679"/>
      <c r="W567" s="675"/>
      <c r="X567" s="675"/>
      <c r="Y567" s="675"/>
      <c r="Z567" s="675"/>
    </row>
    <row r="568">
      <c r="A568" s="675"/>
      <c r="B568" s="677"/>
      <c r="C568" s="807"/>
      <c r="D568" s="808"/>
      <c r="E568" s="693"/>
      <c r="F568" s="809"/>
      <c r="G568" s="809"/>
      <c r="H568" s="809"/>
      <c r="I568" s="809"/>
      <c r="J568" s="809"/>
      <c r="K568" s="809"/>
      <c r="L568" s="809"/>
      <c r="M568" s="809"/>
      <c r="N568" s="809"/>
      <c r="O568" s="809"/>
      <c r="P568" s="809"/>
      <c r="Q568" s="809"/>
      <c r="R568" s="675"/>
      <c r="S568" s="675"/>
      <c r="T568" s="675"/>
      <c r="U568" s="678"/>
      <c r="V568" s="679"/>
      <c r="W568" s="675"/>
      <c r="X568" s="675"/>
      <c r="Y568" s="675"/>
      <c r="Z568" s="675"/>
    </row>
    <row r="569">
      <c r="A569" s="675"/>
      <c r="B569" s="677"/>
      <c r="C569" s="807"/>
      <c r="D569" s="808"/>
      <c r="E569" s="693"/>
      <c r="F569" s="809"/>
      <c r="G569" s="809"/>
      <c r="H569" s="809"/>
      <c r="I569" s="809"/>
      <c r="J569" s="809"/>
      <c r="K569" s="809"/>
      <c r="L569" s="809"/>
      <c r="M569" s="809"/>
      <c r="N569" s="809"/>
      <c r="O569" s="809"/>
      <c r="P569" s="809"/>
      <c r="Q569" s="809"/>
      <c r="R569" s="675"/>
      <c r="S569" s="675"/>
      <c r="T569" s="675"/>
      <c r="U569" s="678"/>
      <c r="V569" s="679"/>
      <c r="W569" s="675"/>
      <c r="X569" s="675"/>
      <c r="Y569" s="675"/>
      <c r="Z569" s="675"/>
    </row>
    <row r="570">
      <c r="A570" s="675"/>
      <c r="B570" s="677"/>
      <c r="C570" s="807"/>
      <c r="D570" s="808"/>
      <c r="E570" s="693"/>
      <c r="F570" s="809"/>
      <c r="G570" s="809"/>
      <c r="H570" s="809"/>
      <c r="I570" s="809"/>
      <c r="J570" s="809"/>
      <c r="K570" s="809"/>
      <c r="L570" s="809"/>
      <c r="M570" s="809"/>
      <c r="N570" s="809"/>
      <c r="O570" s="809"/>
      <c r="P570" s="809"/>
      <c r="Q570" s="809"/>
      <c r="R570" s="675"/>
      <c r="S570" s="675"/>
      <c r="T570" s="675"/>
      <c r="U570" s="678"/>
      <c r="V570" s="679"/>
      <c r="W570" s="675"/>
      <c r="X570" s="675"/>
      <c r="Y570" s="675"/>
      <c r="Z570" s="675"/>
    </row>
    <row r="571">
      <c r="A571" s="675"/>
      <c r="B571" s="677"/>
      <c r="C571" s="807"/>
      <c r="D571" s="808"/>
      <c r="E571" s="693"/>
      <c r="F571" s="809"/>
      <c r="G571" s="809"/>
      <c r="H571" s="809"/>
      <c r="I571" s="809"/>
      <c r="J571" s="809"/>
      <c r="K571" s="809"/>
      <c r="L571" s="809"/>
      <c r="M571" s="809"/>
      <c r="N571" s="809"/>
      <c r="O571" s="809"/>
      <c r="P571" s="809"/>
      <c r="Q571" s="809"/>
      <c r="R571" s="675"/>
      <c r="S571" s="675"/>
      <c r="T571" s="675"/>
      <c r="U571" s="678"/>
      <c r="V571" s="679"/>
      <c r="W571" s="675"/>
      <c r="X571" s="675"/>
      <c r="Y571" s="675"/>
      <c r="Z571" s="675"/>
    </row>
    <row r="572">
      <c r="A572" s="675"/>
      <c r="B572" s="677"/>
      <c r="C572" s="807"/>
      <c r="D572" s="808"/>
      <c r="E572" s="693"/>
      <c r="F572" s="809"/>
      <c r="G572" s="809"/>
      <c r="H572" s="809"/>
      <c r="I572" s="809"/>
      <c r="J572" s="809"/>
      <c r="K572" s="809"/>
      <c r="L572" s="809"/>
      <c r="M572" s="809"/>
      <c r="N572" s="809"/>
      <c r="O572" s="809"/>
      <c r="P572" s="809"/>
      <c r="Q572" s="809"/>
      <c r="R572" s="675"/>
      <c r="S572" s="675"/>
      <c r="T572" s="675"/>
      <c r="U572" s="678"/>
      <c r="V572" s="679"/>
      <c r="W572" s="675"/>
      <c r="X572" s="675"/>
      <c r="Y572" s="675"/>
      <c r="Z572" s="675"/>
    </row>
    <row r="573">
      <c r="A573" s="675"/>
      <c r="B573" s="677"/>
      <c r="C573" s="807"/>
      <c r="D573" s="808"/>
      <c r="E573" s="693"/>
      <c r="F573" s="809"/>
      <c r="G573" s="809"/>
      <c r="H573" s="809"/>
      <c r="I573" s="809"/>
      <c r="J573" s="809"/>
      <c r="K573" s="809"/>
      <c r="L573" s="809"/>
      <c r="M573" s="809"/>
      <c r="N573" s="809"/>
      <c r="O573" s="809"/>
      <c r="P573" s="809"/>
      <c r="Q573" s="809"/>
      <c r="R573" s="675"/>
      <c r="S573" s="675"/>
      <c r="T573" s="675"/>
      <c r="U573" s="678"/>
      <c r="V573" s="679"/>
      <c r="W573" s="675"/>
      <c r="X573" s="675"/>
      <c r="Y573" s="675"/>
      <c r="Z573" s="675"/>
    </row>
    <row r="574">
      <c r="A574" s="675"/>
      <c r="B574" s="677"/>
      <c r="C574" s="807"/>
      <c r="D574" s="808"/>
      <c r="E574" s="693"/>
      <c r="F574" s="809"/>
      <c r="G574" s="809"/>
      <c r="H574" s="809"/>
      <c r="I574" s="809"/>
      <c r="J574" s="809"/>
      <c r="K574" s="809"/>
      <c r="L574" s="809"/>
      <c r="M574" s="809"/>
      <c r="N574" s="809"/>
      <c r="O574" s="809"/>
      <c r="P574" s="809"/>
      <c r="Q574" s="809"/>
      <c r="R574" s="675"/>
      <c r="S574" s="675"/>
      <c r="T574" s="675"/>
      <c r="U574" s="678"/>
      <c r="V574" s="679"/>
      <c r="W574" s="675"/>
      <c r="X574" s="675"/>
      <c r="Y574" s="675"/>
      <c r="Z574" s="675"/>
    </row>
    <row r="575">
      <c r="A575" s="675"/>
      <c r="B575" s="677"/>
      <c r="C575" s="807"/>
      <c r="D575" s="808"/>
      <c r="E575" s="693"/>
      <c r="F575" s="809"/>
      <c r="G575" s="809"/>
      <c r="H575" s="809"/>
      <c r="I575" s="809"/>
      <c r="J575" s="809"/>
      <c r="K575" s="809"/>
      <c r="L575" s="809"/>
      <c r="M575" s="809"/>
      <c r="N575" s="809"/>
      <c r="O575" s="809"/>
      <c r="P575" s="809"/>
      <c r="Q575" s="809"/>
      <c r="R575" s="675"/>
      <c r="S575" s="675"/>
      <c r="T575" s="675"/>
      <c r="U575" s="678"/>
      <c r="V575" s="679"/>
      <c r="W575" s="675"/>
      <c r="X575" s="675"/>
      <c r="Y575" s="675"/>
      <c r="Z575" s="675"/>
    </row>
    <row r="576">
      <c r="A576" s="675"/>
      <c r="B576" s="677"/>
      <c r="C576" s="807"/>
      <c r="D576" s="808"/>
      <c r="E576" s="693"/>
      <c r="F576" s="809"/>
      <c r="G576" s="809"/>
      <c r="H576" s="809"/>
      <c r="I576" s="809"/>
      <c r="J576" s="809"/>
      <c r="K576" s="809"/>
      <c r="L576" s="809"/>
      <c r="M576" s="809"/>
      <c r="N576" s="809"/>
      <c r="O576" s="809"/>
      <c r="P576" s="809"/>
      <c r="Q576" s="809"/>
      <c r="R576" s="675"/>
      <c r="S576" s="675"/>
      <c r="T576" s="675"/>
      <c r="U576" s="678"/>
      <c r="V576" s="679"/>
      <c r="W576" s="675"/>
      <c r="X576" s="675"/>
      <c r="Y576" s="675"/>
      <c r="Z576" s="675"/>
    </row>
    <row r="577">
      <c r="A577" s="675"/>
      <c r="B577" s="677"/>
      <c r="C577" s="807"/>
      <c r="D577" s="808"/>
      <c r="E577" s="693"/>
      <c r="F577" s="809"/>
      <c r="G577" s="809"/>
      <c r="H577" s="809"/>
      <c r="I577" s="809"/>
      <c r="J577" s="809"/>
      <c r="K577" s="809"/>
      <c r="L577" s="809"/>
      <c r="M577" s="809"/>
      <c r="N577" s="809"/>
      <c r="O577" s="809"/>
      <c r="P577" s="809"/>
      <c r="Q577" s="809"/>
      <c r="R577" s="675"/>
      <c r="S577" s="675"/>
      <c r="T577" s="675"/>
      <c r="U577" s="678"/>
      <c r="V577" s="679"/>
      <c r="W577" s="675"/>
      <c r="X577" s="675"/>
      <c r="Y577" s="675"/>
      <c r="Z577" s="675"/>
    </row>
    <row r="578">
      <c r="A578" s="675"/>
      <c r="B578" s="677"/>
      <c r="C578" s="807"/>
      <c r="D578" s="808"/>
      <c r="E578" s="693"/>
      <c r="F578" s="809"/>
      <c r="G578" s="809"/>
      <c r="H578" s="809"/>
      <c r="I578" s="809"/>
      <c r="J578" s="809"/>
      <c r="K578" s="809"/>
      <c r="L578" s="809"/>
      <c r="M578" s="809"/>
      <c r="N578" s="809"/>
      <c r="O578" s="809"/>
      <c r="P578" s="809"/>
      <c r="Q578" s="809"/>
      <c r="R578" s="675"/>
      <c r="S578" s="675"/>
      <c r="T578" s="675"/>
      <c r="U578" s="678"/>
      <c r="V578" s="679"/>
      <c r="W578" s="675"/>
      <c r="X578" s="675"/>
      <c r="Y578" s="675"/>
      <c r="Z578" s="675"/>
    </row>
    <row r="579">
      <c r="A579" s="675"/>
      <c r="B579" s="677"/>
      <c r="C579" s="807"/>
      <c r="D579" s="808"/>
      <c r="E579" s="693"/>
      <c r="F579" s="809"/>
      <c r="G579" s="809"/>
      <c r="H579" s="809"/>
      <c r="I579" s="809"/>
      <c r="J579" s="809"/>
      <c r="K579" s="809"/>
      <c r="L579" s="809"/>
      <c r="M579" s="809"/>
      <c r="N579" s="809"/>
      <c r="O579" s="809"/>
      <c r="P579" s="809"/>
      <c r="Q579" s="809"/>
      <c r="R579" s="675"/>
      <c r="S579" s="675"/>
      <c r="T579" s="675"/>
      <c r="U579" s="678"/>
      <c r="V579" s="679"/>
      <c r="W579" s="675"/>
      <c r="X579" s="675"/>
      <c r="Y579" s="675"/>
      <c r="Z579" s="675"/>
    </row>
    <row r="580">
      <c r="A580" s="675"/>
      <c r="B580" s="677"/>
      <c r="C580" s="807"/>
      <c r="D580" s="808"/>
      <c r="E580" s="693"/>
      <c r="F580" s="809"/>
      <c r="G580" s="809"/>
      <c r="H580" s="809"/>
      <c r="I580" s="809"/>
      <c r="J580" s="809"/>
      <c r="K580" s="809"/>
      <c r="L580" s="809"/>
      <c r="M580" s="809"/>
      <c r="N580" s="809"/>
      <c r="O580" s="809"/>
      <c r="P580" s="809"/>
      <c r="Q580" s="809"/>
      <c r="R580" s="675"/>
      <c r="S580" s="675"/>
      <c r="T580" s="675"/>
      <c r="U580" s="678"/>
      <c r="V580" s="679"/>
      <c r="W580" s="675"/>
      <c r="X580" s="675"/>
      <c r="Y580" s="675"/>
      <c r="Z580" s="675"/>
    </row>
    <row r="581">
      <c r="A581" s="675"/>
      <c r="B581" s="677"/>
      <c r="C581" s="807"/>
      <c r="D581" s="808"/>
      <c r="E581" s="693"/>
      <c r="F581" s="809"/>
      <c r="G581" s="809"/>
      <c r="H581" s="809"/>
      <c r="I581" s="809"/>
      <c r="J581" s="809"/>
      <c r="K581" s="809"/>
      <c r="L581" s="809"/>
      <c r="M581" s="809"/>
      <c r="N581" s="809"/>
      <c r="O581" s="809"/>
      <c r="P581" s="809"/>
      <c r="Q581" s="809"/>
      <c r="R581" s="675"/>
      <c r="S581" s="675"/>
      <c r="T581" s="675"/>
      <c r="U581" s="678"/>
      <c r="V581" s="679"/>
      <c r="W581" s="675"/>
      <c r="X581" s="675"/>
      <c r="Y581" s="675"/>
      <c r="Z581" s="675"/>
    </row>
    <row r="582">
      <c r="A582" s="675"/>
      <c r="B582" s="677"/>
      <c r="C582" s="807"/>
      <c r="D582" s="808"/>
      <c r="E582" s="693"/>
      <c r="F582" s="809"/>
      <c r="G582" s="809"/>
      <c r="H582" s="809"/>
      <c r="I582" s="809"/>
      <c r="J582" s="809"/>
      <c r="K582" s="809"/>
      <c r="L582" s="809"/>
      <c r="M582" s="809"/>
      <c r="N582" s="809"/>
      <c r="O582" s="809"/>
      <c r="P582" s="809"/>
      <c r="Q582" s="809"/>
      <c r="R582" s="675"/>
      <c r="S582" s="675"/>
      <c r="T582" s="675"/>
      <c r="U582" s="678"/>
      <c r="V582" s="679"/>
      <c r="W582" s="675"/>
      <c r="X582" s="675"/>
      <c r="Y582" s="675"/>
      <c r="Z582" s="675"/>
    </row>
    <row r="583">
      <c r="A583" s="675"/>
      <c r="B583" s="677"/>
      <c r="C583" s="807"/>
      <c r="D583" s="808"/>
      <c r="E583" s="693"/>
      <c r="F583" s="809"/>
      <c r="G583" s="809"/>
      <c r="H583" s="809"/>
      <c r="I583" s="809"/>
      <c r="J583" s="809"/>
      <c r="K583" s="809"/>
      <c r="L583" s="809"/>
      <c r="M583" s="809"/>
      <c r="N583" s="809"/>
      <c r="O583" s="809"/>
      <c r="P583" s="809"/>
      <c r="Q583" s="809"/>
      <c r="R583" s="675"/>
      <c r="S583" s="675"/>
      <c r="T583" s="675"/>
      <c r="U583" s="678"/>
      <c r="V583" s="679"/>
      <c r="W583" s="675"/>
      <c r="X583" s="675"/>
      <c r="Y583" s="675"/>
      <c r="Z583" s="675"/>
    </row>
    <row r="584">
      <c r="A584" s="675"/>
      <c r="B584" s="677"/>
      <c r="C584" s="807"/>
      <c r="D584" s="808"/>
      <c r="E584" s="693"/>
      <c r="F584" s="809"/>
      <c r="G584" s="809"/>
      <c r="H584" s="809"/>
      <c r="I584" s="809"/>
      <c r="J584" s="809"/>
      <c r="K584" s="809"/>
      <c r="L584" s="809"/>
      <c r="M584" s="809"/>
      <c r="N584" s="809"/>
      <c r="O584" s="809"/>
      <c r="P584" s="809"/>
      <c r="Q584" s="809"/>
      <c r="R584" s="675"/>
      <c r="S584" s="675"/>
      <c r="T584" s="675"/>
      <c r="U584" s="678"/>
      <c r="V584" s="679"/>
      <c r="W584" s="675"/>
      <c r="X584" s="675"/>
      <c r="Y584" s="675"/>
      <c r="Z584" s="675"/>
    </row>
    <row r="585">
      <c r="A585" s="675"/>
      <c r="B585" s="677"/>
      <c r="C585" s="807"/>
      <c r="D585" s="808"/>
      <c r="E585" s="693"/>
      <c r="F585" s="809"/>
      <c r="G585" s="809"/>
      <c r="H585" s="809"/>
      <c r="I585" s="809"/>
      <c r="J585" s="809"/>
      <c r="K585" s="809"/>
      <c r="L585" s="809"/>
      <c r="M585" s="809"/>
      <c r="N585" s="809"/>
      <c r="O585" s="809"/>
      <c r="P585" s="809"/>
      <c r="Q585" s="809"/>
      <c r="R585" s="675"/>
      <c r="S585" s="675"/>
      <c r="T585" s="675"/>
      <c r="U585" s="678"/>
      <c r="V585" s="679"/>
      <c r="W585" s="675"/>
      <c r="X585" s="675"/>
      <c r="Y585" s="675"/>
      <c r="Z585" s="675"/>
    </row>
    <row r="586">
      <c r="A586" s="675"/>
      <c r="B586" s="677"/>
      <c r="C586" s="807"/>
      <c r="D586" s="808"/>
      <c r="E586" s="693"/>
      <c r="F586" s="809"/>
      <c r="G586" s="809"/>
      <c r="H586" s="809"/>
      <c r="I586" s="809"/>
      <c r="J586" s="809"/>
      <c r="K586" s="809"/>
      <c r="L586" s="809"/>
      <c r="M586" s="809"/>
      <c r="N586" s="809"/>
      <c r="O586" s="809"/>
      <c r="P586" s="809"/>
      <c r="Q586" s="809"/>
      <c r="R586" s="675"/>
      <c r="S586" s="675"/>
      <c r="T586" s="675"/>
      <c r="U586" s="678"/>
      <c r="V586" s="679"/>
      <c r="W586" s="675"/>
      <c r="X586" s="675"/>
      <c r="Y586" s="675"/>
      <c r="Z586" s="675"/>
    </row>
    <row r="587">
      <c r="A587" s="675"/>
      <c r="B587" s="677"/>
      <c r="C587" s="807"/>
      <c r="D587" s="808"/>
      <c r="E587" s="693"/>
      <c r="F587" s="809"/>
      <c r="G587" s="809"/>
      <c r="H587" s="809"/>
      <c r="I587" s="809"/>
      <c r="J587" s="809"/>
      <c r="K587" s="809"/>
      <c r="L587" s="809"/>
      <c r="M587" s="809"/>
      <c r="N587" s="809"/>
      <c r="O587" s="809"/>
      <c r="P587" s="809"/>
      <c r="Q587" s="809"/>
      <c r="R587" s="675"/>
      <c r="S587" s="675"/>
      <c r="T587" s="675"/>
      <c r="U587" s="678"/>
      <c r="V587" s="679"/>
      <c r="W587" s="675"/>
      <c r="X587" s="675"/>
      <c r="Y587" s="675"/>
      <c r="Z587" s="675"/>
    </row>
    <row r="588">
      <c r="A588" s="675"/>
      <c r="B588" s="677"/>
      <c r="C588" s="807"/>
      <c r="D588" s="808"/>
      <c r="E588" s="693"/>
      <c r="F588" s="809"/>
      <c r="G588" s="809"/>
      <c r="H588" s="809"/>
      <c r="I588" s="809"/>
      <c r="J588" s="809"/>
      <c r="K588" s="809"/>
      <c r="L588" s="809"/>
      <c r="M588" s="809"/>
      <c r="N588" s="809"/>
      <c r="O588" s="809"/>
      <c r="P588" s="809"/>
      <c r="Q588" s="809"/>
      <c r="R588" s="675"/>
      <c r="S588" s="675"/>
      <c r="T588" s="675"/>
      <c r="U588" s="678"/>
      <c r="V588" s="679"/>
      <c r="W588" s="675"/>
      <c r="X588" s="675"/>
      <c r="Y588" s="675"/>
      <c r="Z588" s="675"/>
    </row>
    <row r="589">
      <c r="A589" s="675"/>
      <c r="B589" s="677"/>
      <c r="C589" s="807"/>
      <c r="D589" s="808"/>
      <c r="E589" s="693"/>
      <c r="F589" s="809"/>
      <c r="G589" s="809"/>
      <c r="H589" s="809"/>
      <c r="I589" s="809"/>
      <c r="J589" s="809"/>
      <c r="K589" s="809"/>
      <c r="L589" s="809"/>
      <c r="M589" s="809"/>
      <c r="N589" s="809"/>
      <c r="O589" s="809"/>
      <c r="P589" s="809"/>
      <c r="Q589" s="809"/>
      <c r="R589" s="675"/>
      <c r="S589" s="675"/>
      <c r="T589" s="675"/>
      <c r="U589" s="678"/>
      <c r="V589" s="679"/>
      <c r="W589" s="675"/>
      <c r="X589" s="675"/>
      <c r="Y589" s="675"/>
      <c r="Z589" s="675"/>
    </row>
    <row r="590">
      <c r="A590" s="675"/>
      <c r="B590" s="677"/>
      <c r="C590" s="807"/>
      <c r="D590" s="808"/>
      <c r="E590" s="693"/>
      <c r="F590" s="809"/>
      <c r="G590" s="809"/>
      <c r="H590" s="809"/>
      <c r="I590" s="809"/>
      <c r="J590" s="809"/>
      <c r="K590" s="809"/>
      <c r="L590" s="809"/>
      <c r="M590" s="809"/>
      <c r="N590" s="809"/>
      <c r="O590" s="809"/>
      <c r="P590" s="809"/>
      <c r="Q590" s="809"/>
      <c r="R590" s="675"/>
      <c r="S590" s="675"/>
      <c r="T590" s="675"/>
      <c r="U590" s="678"/>
      <c r="V590" s="679"/>
      <c r="W590" s="675"/>
      <c r="X590" s="675"/>
      <c r="Y590" s="675"/>
      <c r="Z590" s="675"/>
    </row>
    <row r="591">
      <c r="A591" s="675"/>
      <c r="B591" s="677"/>
      <c r="C591" s="807"/>
      <c r="D591" s="808"/>
      <c r="E591" s="693"/>
      <c r="F591" s="809"/>
      <c r="G591" s="809"/>
      <c r="H591" s="809"/>
      <c r="I591" s="809"/>
      <c r="J591" s="809"/>
      <c r="K591" s="809"/>
      <c r="L591" s="809"/>
      <c r="M591" s="809"/>
      <c r="N591" s="809"/>
      <c r="O591" s="809"/>
      <c r="P591" s="809"/>
      <c r="Q591" s="809"/>
      <c r="R591" s="675"/>
      <c r="S591" s="675"/>
      <c r="T591" s="675"/>
      <c r="U591" s="678"/>
      <c r="V591" s="679"/>
      <c r="W591" s="675"/>
      <c r="X591" s="675"/>
      <c r="Y591" s="675"/>
      <c r="Z591" s="675"/>
    </row>
    <row r="592">
      <c r="A592" s="675"/>
      <c r="B592" s="677"/>
      <c r="C592" s="807"/>
      <c r="D592" s="808"/>
      <c r="E592" s="693"/>
      <c r="F592" s="809"/>
      <c r="G592" s="809"/>
      <c r="H592" s="809"/>
      <c r="I592" s="809"/>
      <c r="J592" s="809"/>
      <c r="K592" s="809"/>
      <c r="L592" s="809"/>
      <c r="M592" s="809"/>
      <c r="N592" s="809"/>
      <c r="O592" s="809"/>
      <c r="P592" s="809"/>
      <c r="Q592" s="809"/>
      <c r="R592" s="675"/>
      <c r="S592" s="675"/>
      <c r="T592" s="675"/>
      <c r="U592" s="678"/>
      <c r="V592" s="679"/>
      <c r="W592" s="675"/>
      <c r="X592" s="675"/>
      <c r="Y592" s="675"/>
      <c r="Z592" s="675"/>
    </row>
    <row r="593">
      <c r="A593" s="675"/>
      <c r="B593" s="677"/>
      <c r="C593" s="807"/>
      <c r="D593" s="808"/>
      <c r="E593" s="693"/>
      <c r="F593" s="809"/>
      <c r="G593" s="809"/>
      <c r="H593" s="809"/>
      <c r="I593" s="809"/>
      <c r="J593" s="809"/>
      <c r="K593" s="809"/>
      <c r="L593" s="809"/>
      <c r="M593" s="809"/>
      <c r="N593" s="809"/>
      <c r="O593" s="809"/>
      <c r="P593" s="809"/>
      <c r="Q593" s="809"/>
      <c r="R593" s="675"/>
      <c r="S593" s="675"/>
      <c r="T593" s="675"/>
      <c r="U593" s="678"/>
      <c r="V593" s="679"/>
      <c r="W593" s="675"/>
      <c r="X593" s="675"/>
      <c r="Y593" s="675"/>
      <c r="Z593" s="675"/>
    </row>
    <row r="594">
      <c r="A594" s="675"/>
      <c r="B594" s="677"/>
      <c r="C594" s="807"/>
      <c r="D594" s="808"/>
      <c r="E594" s="693"/>
      <c r="F594" s="809"/>
      <c r="G594" s="809"/>
      <c r="H594" s="809"/>
      <c r="I594" s="809"/>
      <c r="J594" s="809"/>
      <c r="K594" s="809"/>
      <c r="L594" s="809"/>
      <c r="M594" s="809"/>
      <c r="N594" s="809"/>
      <c r="O594" s="809"/>
      <c r="P594" s="809"/>
      <c r="Q594" s="809"/>
      <c r="R594" s="675"/>
      <c r="S594" s="675"/>
      <c r="T594" s="675"/>
      <c r="U594" s="678"/>
      <c r="V594" s="679"/>
      <c r="W594" s="675"/>
      <c r="X594" s="675"/>
      <c r="Y594" s="675"/>
      <c r="Z594" s="675"/>
    </row>
    <row r="595">
      <c r="A595" s="675"/>
      <c r="B595" s="677"/>
      <c r="C595" s="807"/>
      <c r="D595" s="808"/>
      <c r="E595" s="693"/>
      <c r="F595" s="809"/>
      <c r="G595" s="809"/>
      <c r="H595" s="809"/>
      <c r="I595" s="809"/>
      <c r="J595" s="809"/>
      <c r="K595" s="809"/>
      <c r="L595" s="809"/>
      <c r="M595" s="809"/>
      <c r="N595" s="809"/>
      <c r="O595" s="809"/>
      <c r="P595" s="809"/>
      <c r="Q595" s="809"/>
      <c r="R595" s="675"/>
      <c r="S595" s="675"/>
      <c r="T595" s="675"/>
      <c r="U595" s="678"/>
      <c r="V595" s="679"/>
      <c r="W595" s="675"/>
      <c r="X595" s="675"/>
      <c r="Y595" s="675"/>
      <c r="Z595" s="675"/>
    </row>
    <row r="596">
      <c r="A596" s="675"/>
      <c r="B596" s="677"/>
      <c r="C596" s="807"/>
      <c r="D596" s="808"/>
      <c r="E596" s="693"/>
      <c r="F596" s="809"/>
      <c r="G596" s="809"/>
      <c r="H596" s="809"/>
      <c r="I596" s="809"/>
      <c r="J596" s="809"/>
      <c r="K596" s="809"/>
      <c r="L596" s="809"/>
      <c r="M596" s="809"/>
      <c r="N596" s="809"/>
      <c r="O596" s="809"/>
      <c r="P596" s="809"/>
      <c r="Q596" s="809"/>
      <c r="R596" s="675"/>
      <c r="S596" s="675"/>
      <c r="T596" s="675"/>
      <c r="U596" s="678"/>
      <c r="V596" s="679"/>
      <c r="W596" s="675"/>
      <c r="X596" s="675"/>
      <c r="Y596" s="675"/>
      <c r="Z596" s="675"/>
    </row>
    <row r="597">
      <c r="A597" s="675"/>
      <c r="B597" s="677"/>
      <c r="C597" s="807"/>
      <c r="D597" s="808"/>
      <c r="E597" s="693"/>
      <c r="F597" s="809"/>
      <c r="G597" s="809"/>
      <c r="H597" s="809"/>
      <c r="I597" s="809"/>
      <c r="J597" s="809"/>
      <c r="K597" s="809"/>
      <c r="L597" s="809"/>
      <c r="M597" s="809"/>
      <c r="N597" s="809"/>
      <c r="O597" s="809"/>
      <c r="P597" s="809"/>
      <c r="Q597" s="809"/>
      <c r="R597" s="675"/>
      <c r="S597" s="675"/>
      <c r="T597" s="675"/>
      <c r="U597" s="678"/>
      <c r="V597" s="679"/>
      <c r="W597" s="675"/>
      <c r="X597" s="675"/>
      <c r="Y597" s="675"/>
      <c r="Z597" s="675"/>
    </row>
    <row r="598">
      <c r="A598" s="675"/>
      <c r="B598" s="677"/>
      <c r="C598" s="807"/>
      <c r="D598" s="808"/>
      <c r="E598" s="693"/>
      <c r="F598" s="809"/>
      <c r="G598" s="809"/>
      <c r="H598" s="809"/>
      <c r="I598" s="809"/>
      <c r="J598" s="809"/>
      <c r="K598" s="809"/>
      <c r="L598" s="809"/>
      <c r="M598" s="809"/>
      <c r="N598" s="809"/>
      <c r="O598" s="809"/>
      <c r="P598" s="809"/>
      <c r="Q598" s="809"/>
      <c r="R598" s="675"/>
      <c r="S598" s="675"/>
      <c r="T598" s="675"/>
      <c r="U598" s="678"/>
      <c r="V598" s="679"/>
      <c r="W598" s="675"/>
      <c r="X598" s="675"/>
      <c r="Y598" s="675"/>
      <c r="Z598" s="675"/>
    </row>
    <row r="599">
      <c r="A599" s="675"/>
      <c r="B599" s="677"/>
      <c r="C599" s="807"/>
      <c r="D599" s="808"/>
      <c r="E599" s="693"/>
      <c r="F599" s="809"/>
      <c r="G599" s="809"/>
      <c r="H599" s="809"/>
      <c r="I599" s="809"/>
      <c r="J599" s="809"/>
      <c r="K599" s="809"/>
      <c r="L599" s="809"/>
      <c r="M599" s="809"/>
      <c r="N599" s="809"/>
      <c r="O599" s="809"/>
      <c r="P599" s="809"/>
      <c r="Q599" s="809"/>
      <c r="R599" s="675"/>
      <c r="S599" s="675"/>
      <c r="T599" s="675"/>
      <c r="U599" s="678"/>
      <c r="V599" s="679"/>
      <c r="W599" s="675"/>
      <c r="X599" s="675"/>
      <c r="Y599" s="675"/>
      <c r="Z599" s="675"/>
    </row>
    <row r="600">
      <c r="A600" s="675"/>
      <c r="B600" s="677"/>
      <c r="C600" s="807"/>
      <c r="D600" s="808"/>
      <c r="E600" s="693"/>
      <c r="F600" s="809"/>
      <c r="G600" s="809"/>
      <c r="H600" s="809"/>
      <c r="I600" s="809"/>
      <c r="J600" s="809"/>
      <c r="K600" s="809"/>
      <c r="L600" s="809"/>
      <c r="M600" s="809"/>
      <c r="N600" s="809"/>
      <c r="O600" s="809"/>
      <c r="P600" s="809"/>
      <c r="Q600" s="809"/>
      <c r="R600" s="675"/>
      <c r="S600" s="675"/>
      <c r="T600" s="675"/>
      <c r="U600" s="678"/>
      <c r="V600" s="679"/>
      <c r="W600" s="675"/>
      <c r="X600" s="675"/>
      <c r="Y600" s="675"/>
      <c r="Z600" s="675"/>
    </row>
    <row r="601">
      <c r="A601" s="675"/>
      <c r="B601" s="677"/>
      <c r="C601" s="807"/>
      <c r="D601" s="808"/>
      <c r="E601" s="693"/>
      <c r="F601" s="809"/>
      <c r="G601" s="809"/>
      <c r="H601" s="809"/>
      <c r="I601" s="809"/>
      <c r="J601" s="809"/>
      <c r="K601" s="809"/>
      <c r="L601" s="809"/>
      <c r="M601" s="809"/>
      <c r="N601" s="809"/>
      <c r="O601" s="809"/>
      <c r="P601" s="809"/>
      <c r="Q601" s="809"/>
      <c r="R601" s="675"/>
      <c r="S601" s="675"/>
      <c r="T601" s="675"/>
      <c r="U601" s="678"/>
      <c r="V601" s="679"/>
      <c r="W601" s="675"/>
      <c r="X601" s="675"/>
      <c r="Y601" s="675"/>
      <c r="Z601" s="675"/>
    </row>
    <row r="602">
      <c r="A602" s="675"/>
      <c r="B602" s="677"/>
      <c r="C602" s="807"/>
      <c r="D602" s="808"/>
      <c r="E602" s="693"/>
      <c r="F602" s="809"/>
      <c r="G602" s="809"/>
      <c r="H602" s="809"/>
      <c r="I602" s="809"/>
      <c r="J602" s="809"/>
      <c r="K602" s="809"/>
      <c r="L602" s="809"/>
      <c r="M602" s="809"/>
      <c r="N602" s="809"/>
      <c r="O602" s="809"/>
      <c r="P602" s="809"/>
      <c r="Q602" s="809"/>
      <c r="R602" s="675"/>
      <c r="S602" s="675"/>
      <c r="T602" s="675"/>
      <c r="U602" s="678"/>
      <c r="V602" s="679"/>
      <c r="W602" s="675"/>
      <c r="X602" s="675"/>
      <c r="Y602" s="675"/>
      <c r="Z602" s="675"/>
    </row>
    <row r="603">
      <c r="A603" s="675"/>
      <c r="B603" s="677"/>
      <c r="C603" s="807"/>
      <c r="D603" s="808"/>
      <c r="E603" s="693"/>
      <c r="F603" s="809"/>
      <c r="G603" s="809"/>
      <c r="H603" s="809"/>
      <c r="I603" s="809"/>
      <c r="J603" s="809"/>
      <c r="K603" s="809"/>
      <c r="L603" s="809"/>
      <c r="M603" s="809"/>
      <c r="N603" s="809"/>
      <c r="O603" s="809"/>
      <c r="P603" s="809"/>
      <c r="Q603" s="809"/>
      <c r="R603" s="675"/>
      <c r="S603" s="675"/>
      <c r="T603" s="675"/>
      <c r="U603" s="678"/>
      <c r="V603" s="679"/>
      <c r="W603" s="675"/>
      <c r="X603" s="675"/>
      <c r="Y603" s="675"/>
      <c r="Z603" s="675"/>
    </row>
    <row r="604">
      <c r="A604" s="675"/>
      <c r="B604" s="677"/>
      <c r="C604" s="807"/>
      <c r="D604" s="808"/>
      <c r="E604" s="693"/>
      <c r="F604" s="809"/>
      <c r="G604" s="809"/>
      <c r="H604" s="809"/>
      <c r="I604" s="809"/>
      <c r="J604" s="809"/>
      <c r="K604" s="809"/>
      <c r="L604" s="809"/>
      <c r="M604" s="809"/>
      <c r="N604" s="809"/>
      <c r="O604" s="809"/>
      <c r="P604" s="809"/>
      <c r="Q604" s="809"/>
      <c r="R604" s="675"/>
      <c r="S604" s="675"/>
      <c r="T604" s="675"/>
      <c r="U604" s="678"/>
      <c r="V604" s="679"/>
      <c r="W604" s="675"/>
      <c r="X604" s="675"/>
      <c r="Y604" s="675"/>
      <c r="Z604" s="675"/>
    </row>
    <row r="605">
      <c r="A605" s="675"/>
      <c r="B605" s="677"/>
      <c r="C605" s="807"/>
      <c r="D605" s="808"/>
      <c r="E605" s="693"/>
      <c r="F605" s="809"/>
      <c r="G605" s="809"/>
      <c r="H605" s="809"/>
      <c r="I605" s="809"/>
      <c r="J605" s="809"/>
      <c r="K605" s="809"/>
      <c r="L605" s="809"/>
      <c r="M605" s="809"/>
      <c r="N605" s="809"/>
      <c r="O605" s="809"/>
      <c r="P605" s="809"/>
      <c r="Q605" s="809"/>
      <c r="R605" s="675"/>
      <c r="S605" s="675"/>
      <c r="T605" s="675"/>
      <c r="U605" s="678"/>
      <c r="V605" s="679"/>
      <c r="W605" s="675"/>
      <c r="X605" s="675"/>
      <c r="Y605" s="675"/>
      <c r="Z605" s="675"/>
    </row>
    <row r="606">
      <c r="A606" s="675"/>
      <c r="B606" s="677"/>
      <c r="C606" s="807"/>
      <c r="D606" s="808"/>
      <c r="E606" s="693"/>
      <c r="F606" s="809"/>
      <c r="G606" s="809"/>
      <c r="H606" s="809"/>
      <c r="I606" s="809"/>
      <c r="J606" s="809"/>
      <c r="K606" s="809"/>
      <c r="L606" s="809"/>
      <c r="M606" s="809"/>
      <c r="N606" s="809"/>
      <c r="O606" s="809"/>
      <c r="P606" s="809"/>
      <c r="Q606" s="809"/>
      <c r="R606" s="675"/>
      <c r="S606" s="675"/>
      <c r="T606" s="675"/>
      <c r="U606" s="678"/>
      <c r="V606" s="679"/>
      <c r="W606" s="675"/>
      <c r="X606" s="675"/>
      <c r="Y606" s="675"/>
      <c r="Z606" s="675"/>
    </row>
    <row r="607">
      <c r="A607" s="675"/>
      <c r="B607" s="677"/>
      <c r="C607" s="807"/>
      <c r="D607" s="808"/>
      <c r="E607" s="693"/>
      <c r="F607" s="809"/>
      <c r="G607" s="809"/>
      <c r="H607" s="809"/>
      <c r="I607" s="809"/>
      <c r="J607" s="809"/>
      <c r="K607" s="809"/>
      <c r="L607" s="809"/>
      <c r="M607" s="809"/>
      <c r="N607" s="809"/>
      <c r="O607" s="809"/>
      <c r="P607" s="809"/>
      <c r="Q607" s="809"/>
      <c r="R607" s="675"/>
      <c r="S607" s="675"/>
      <c r="T607" s="675"/>
      <c r="U607" s="678"/>
      <c r="V607" s="679"/>
      <c r="W607" s="675"/>
      <c r="X607" s="675"/>
      <c r="Y607" s="675"/>
      <c r="Z607" s="675"/>
    </row>
    <row r="608">
      <c r="A608" s="675"/>
      <c r="B608" s="677"/>
      <c r="C608" s="807"/>
      <c r="D608" s="808"/>
      <c r="E608" s="693"/>
      <c r="F608" s="809"/>
      <c r="G608" s="809"/>
      <c r="H608" s="809"/>
      <c r="I608" s="809"/>
      <c r="J608" s="809"/>
      <c r="K608" s="809"/>
      <c r="L608" s="809"/>
      <c r="M608" s="809"/>
      <c r="N608" s="809"/>
      <c r="O608" s="809"/>
      <c r="P608" s="809"/>
      <c r="Q608" s="809"/>
      <c r="R608" s="675"/>
      <c r="S608" s="675"/>
      <c r="T608" s="675"/>
      <c r="U608" s="678"/>
      <c r="V608" s="679"/>
      <c r="W608" s="675"/>
      <c r="X608" s="675"/>
      <c r="Y608" s="675"/>
      <c r="Z608" s="675"/>
    </row>
    <row r="609">
      <c r="A609" s="675"/>
      <c r="B609" s="677"/>
      <c r="C609" s="807"/>
      <c r="D609" s="808"/>
      <c r="E609" s="693"/>
      <c r="F609" s="809"/>
      <c r="G609" s="809"/>
      <c r="H609" s="809"/>
      <c r="I609" s="809"/>
      <c r="J609" s="809"/>
      <c r="K609" s="809"/>
      <c r="L609" s="809"/>
      <c r="M609" s="809"/>
      <c r="N609" s="809"/>
      <c r="O609" s="809"/>
      <c r="P609" s="809"/>
      <c r="Q609" s="809"/>
      <c r="R609" s="675"/>
      <c r="S609" s="675"/>
      <c r="T609" s="675"/>
      <c r="U609" s="678"/>
      <c r="V609" s="679"/>
      <c r="W609" s="675"/>
      <c r="X609" s="675"/>
      <c r="Y609" s="675"/>
      <c r="Z609" s="675"/>
    </row>
    <row r="610">
      <c r="A610" s="675"/>
      <c r="B610" s="677"/>
      <c r="C610" s="807"/>
      <c r="D610" s="808"/>
      <c r="E610" s="693"/>
      <c r="F610" s="809"/>
      <c r="G610" s="809"/>
      <c r="H610" s="809"/>
      <c r="I610" s="809"/>
      <c r="J610" s="809"/>
      <c r="K610" s="809"/>
      <c r="L610" s="809"/>
      <c r="M610" s="809"/>
      <c r="N610" s="809"/>
      <c r="O610" s="809"/>
      <c r="P610" s="809"/>
      <c r="Q610" s="809"/>
      <c r="R610" s="675"/>
      <c r="S610" s="675"/>
      <c r="T610" s="675"/>
      <c r="U610" s="678"/>
      <c r="V610" s="679"/>
      <c r="W610" s="675"/>
      <c r="X610" s="675"/>
      <c r="Y610" s="675"/>
      <c r="Z610" s="675"/>
    </row>
    <row r="611">
      <c r="A611" s="675"/>
      <c r="B611" s="677"/>
      <c r="C611" s="807"/>
      <c r="D611" s="808"/>
      <c r="E611" s="693"/>
      <c r="F611" s="809"/>
      <c r="G611" s="809"/>
      <c r="H611" s="809"/>
      <c r="I611" s="809"/>
      <c r="J611" s="809"/>
      <c r="K611" s="809"/>
      <c r="L611" s="809"/>
      <c r="M611" s="809"/>
      <c r="N611" s="809"/>
      <c r="O611" s="809"/>
      <c r="P611" s="809"/>
      <c r="Q611" s="809"/>
      <c r="R611" s="675"/>
      <c r="S611" s="675"/>
      <c r="T611" s="675"/>
      <c r="U611" s="678"/>
      <c r="V611" s="679"/>
      <c r="W611" s="675"/>
      <c r="X611" s="675"/>
      <c r="Y611" s="675"/>
      <c r="Z611" s="675"/>
    </row>
    <row r="612">
      <c r="A612" s="675"/>
      <c r="B612" s="677"/>
      <c r="C612" s="807"/>
      <c r="D612" s="808"/>
      <c r="E612" s="693"/>
      <c r="F612" s="809"/>
      <c r="G612" s="809"/>
      <c r="H612" s="809"/>
      <c r="I612" s="809"/>
      <c r="J612" s="809"/>
      <c r="K612" s="809"/>
      <c r="L612" s="809"/>
      <c r="M612" s="809"/>
      <c r="N612" s="809"/>
      <c r="O612" s="809"/>
      <c r="P612" s="809"/>
      <c r="Q612" s="809"/>
      <c r="R612" s="675"/>
      <c r="S612" s="675"/>
      <c r="T612" s="675"/>
      <c r="U612" s="678"/>
      <c r="V612" s="679"/>
      <c r="W612" s="675"/>
      <c r="X612" s="675"/>
      <c r="Y612" s="675"/>
      <c r="Z612" s="675"/>
    </row>
    <row r="613">
      <c r="A613" s="675"/>
      <c r="B613" s="677"/>
      <c r="C613" s="807"/>
      <c r="D613" s="808"/>
      <c r="E613" s="693"/>
      <c r="F613" s="809"/>
      <c r="G613" s="809"/>
      <c r="H613" s="809"/>
      <c r="I613" s="809"/>
      <c r="J613" s="809"/>
      <c r="K613" s="809"/>
      <c r="L613" s="809"/>
      <c r="M613" s="809"/>
      <c r="N613" s="809"/>
      <c r="O613" s="809"/>
      <c r="P613" s="809"/>
      <c r="Q613" s="809"/>
      <c r="R613" s="675"/>
      <c r="S613" s="675"/>
      <c r="T613" s="675"/>
      <c r="U613" s="678"/>
      <c r="V613" s="679"/>
      <c r="W613" s="675"/>
      <c r="X613" s="675"/>
      <c r="Y613" s="675"/>
      <c r="Z613" s="675"/>
    </row>
    <row r="614">
      <c r="A614" s="675"/>
      <c r="B614" s="677"/>
      <c r="C614" s="807"/>
      <c r="D614" s="808"/>
      <c r="E614" s="693"/>
      <c r="F614" s="809"/>
      <c r="G614" s="809"/>
      <c r="H614" s="809"/>
      <c r="I614" s="809"/>
      <c r="J614" s="809"/>
      <c r="K614" s="809"/>
      <c r="L614" s="809"/>
      <c r="M614" s="809"/>
      <c r="N614" s="809"/>
      <c r="O614" s="809"/>
      <c r="P614" s="809"/>
      <c r="Q614" s="809"/>
      <c r="R614" s="675"/>
      <c r="S614" s="675"/>
      <c r="T614" s="675"/>
      <c r="U614" s="678"/>
      <c r="V614" s="679"/>
      <c r="W614" s="675"/>
      <c r="X614" s="675"/>
      <c r="Y614" s="675"/>
      <c r="Z614" s="675"/>
    </row>
    <row r="615">
      <c r="A615" s="675"/>
      <c r="B615" s="677"/>
      <c r="C615" s="807"/>
      <c r="D615" s="808"/>
      <c r="E615" s="693"/>
      <c r="F615" s="809"/>
      <c r="G615" s="809"/>
      <c r="H615" s="809"/>
      <c r="I615" s="809"/>
      <c r="J615" s="809"/>
      <c r="K615" s="809"/>
      <c r="L615" s="809"/>
      <c r="M615" s="809"/>
      <c r="N615" s="809"/>
      <c r="O615" s="809"/>
      <c r="P615" s="809"/>
      <c r="Q615" s="809"/>
      <c r="R615" s="675"/>
      <c r="S615" s="675"/>
      <c r="T615" s="675"/>
      <c r="U615" s="678"/>
      <c r="V615" s="679"/>
      <c r="W615" s="675"/>
      <c r="X615" s="675"/>
      <c r="Y615" s="675"/>
      <c r="Z615" s="675"/>
    </row>
    <row r="616">
      <c r="A616" s="675"/>
      <c r="B616" s="677"/>
      <c r="C616" s="807"/>
      <c r="D616" s="808"/>
      <c r="E616" s="693"/>
      <c r="F616" s="809"/>
      <c r="G616" s="809"/>
      <c r="H616" s="809"/>
      <c r="I616" s="809"/>
      <c r="J616" s="809"/>
      <c r="K616" s="809"/>
      <c r="L616" s="809"/>
      <c r="M616" s="809"/>
      <c r="N616" s="809"/>
      <c r="O616" s="809"/>
      <c r="P616" s="809"/>
      <c r="Q616" s="809"/>
      <c r="R616" s="675"/>
      <c r="S616" s="675"/>
      <c r="T616" s="675"/>
      <c r="U616" s="678"/>
      <c r="V616" s="679"/>
      <c r="W616" s="675"/>
      <c r="X616" s="675"/>
      <c r="Y616" s="675"/>
      <c r="Z616" s="675"/>
    </row>
    <row r="617">
      <c r="A617" s="675"/>
      <c r="B617" s="677"/>
      <c r="C617" s="807"/>
      <c r="D617" s="808"/>
      <c r="E617" s="693"/>
      <c r="F617" s="809"/>
      <c r="G617" s="809"/>
      <c r="H617" s="809"/>
      <c r="I617" s="809"/>
      <c r="J617" s="809"/>
      <c r="K617" s="809"/>
      <c r="L617" s="809"/>
      <c r="M617" s="809"/>
      <c r="N617" s="809"/>
      <c r="O617" s="809"/>
      <c r="P617" s="809"/>
      <c r="Q617" s="809"/>
      <c r="R617" s="675"/>
      <c r="S617" s="675"/>
      <c r="T617" s="675"/>
      <c r="U617" s="678"/>
      <c r="V617" s="679"/>
      <c r="W617" s="675"/>
      <c r="X617" s="675"/>
      <c r="Y617" s="675"/>
      <c r="Z617" s="675"/>
    </row>
    <row r="618">
      <c r="A618" s="675"/>
      <c r="B618" s="677"/>
      <c r="C618" s="807"/>
      <c r="D618" s="808"/>
      <c r="E618" s="693"/>
      <c r="F618" s="809"/>
      <c r="G618" s="809"/>
      <c r="H618" s="809"/>
      <c r="I618" s="809"/>
      <c r="J618" s="809"/>
      <c r="K618" s="809"/>
      <c r="L618" s="809"/>
      <c r="M618" s="809"/>
      <c r="N618" s="809"/>
      <c r="O618" s="809"/>
      <c r="P618" s="809"/>
      <c r="Q618" s="809"/>
      <c r="R618" s="675"/>
      <c r="S618" s="675"/>
      <c r="T618" s="675"/>
      <c r="U618" s="678"/>
      <c r="V618" s="679"/>
      <c r="W618" s="675"/>
      <c r="X618" s="675"/>
      <c r="Y618" s="675"/>
      <c r="Z618" s="675"/>
    </row>
    <row r="619">
      <c r="A619" s="675"/>
      <c r="B619" s="677"/>
      <c r="C619" s="807"/>
      <c r="D619" s="808"/>
      <c r="E619" s="693"/>
      <c r="F619" s="809"/>
      <c r="G619" s="809"/>
      <c r="H619" s="809"/>
      <c r="I619" s="809"/>
      <c r="J619" s="809"/>
      <c r="K619" s="809"/>
      <c r="L619" s="809"/>
      <c r="M619" s="809"/>
      <c r="N619" s="809"/>
      <c r="O619" s="809"/>
      <c r="P619" s="809"/>
      <c r="Q619" s="809"/>
      <c r="R619" s="675"/>
      <c r="S619" s="675"/>
      <c r="T619" s="675"/>
      <c r="U619" s="678"/>
      <c r="V619" s="679"/>
      <c r="W619" s="675"/>
      <c r="X619" s="675"/>
      <c r="Y619" s="675"/>
      <c r="Z619" s="675"/>
    </row>
    <row r="620">
      <c r="A620" s="675"/>
      <c r="B620" s="677"/>
      <c r="C620" s="807"/>
      <c r="D620" s="808"/>
      <c r="E620" s="693"/>
      <c r="F620" s="809"/>
      <c r="G620" s="809"/>
      <c r="H620" s="809"/>
      <c r="I620" s="809"/>
      <c r="J620" s="809"/>
      <c r="K620" s="809"/>
      <c r="L620" s="809"/>
      <c r="M620" s="809"/>
      <c r="N620" s="809"/>
      <c r="O620" s="809"/>
      <c r="P620" s="809"/>
      <c r="Q620" s="809"/>
      <c r="R620" s="675"/>
      <c r="S620" s="675"/>
      <c r="T620" s="675"/>
      <c r="U620" s="678"/>
      <c r="V620" s="679"/>
      <c r="W620" s="675"/>
      <c r="X620" s="675"/>
      <c r="Y620" s="675"/>
      <c r="Z620" s="675"/>
    </row>
    <row r="621">
      <c r="A621" s="675"/>
      <c r="B621" s="677"/>
      <c r="C621" s="807"/>
      <c r="D621" s="808"/>
      <c r="E621" s="693"/>
      <c r="F621" s="809"/>
      <c r="G621" s="809"/>
      <c r="H621" s="809"/>
      <c r="I621" s="809"/>
      <c r="J621" s="809"/>
      <c r="K621" s="809"/>
      <c r="L621" s="809"/>
      <c r="M621" s="809"/>
      <c r="N621" s="809"/>
      <c r="O621" s="809"/>
      <c r="P621" s="809"/>
      <c r="Q621" s="809"/>
      <c r="R621" s="675"/>
      <c r="S621" s="675"/>
      <c r="T621" s="675"/>
      <c r="U621" s="678"/>
      <c r="V621" s="679"/>
      <c r="W621" s="675"/>
      <c r="X621" s="675"/>
      <c r="Y621" s="675"/>
      <c r="Z621" s="675"/>
    </row>
    <row r="622">
      <c r="A622" s="675"/>
      <c r="B622" s="677"/>
      <c r="C622" s="807"/>
      <c r="D622" s="808"/>
      <c r="E622" s="693"/>
      <c r="F622" s="809"/>
      <c r="G622" s="809"/>
      <c r="H622" s="809"/>
      <c r="I622" s="809"/>
      <c r="J622" s="809"/>
      <c r="K622" s="809"/>
      <c r="L622" s="809"/>
      <c r="M622" s="809"/>
      <c r="N622" s="809"/>
      <c r="O622" s="809"/>
      <c r="P622" s="809"/>
      <c r="Q622" s="809"/>
      <c r="R622" s="675"/>
      <c r="S622" s="675"/>
      <c r="T622" s="675"/>
      <c r="U622" s="678"/>
      <c r="V622" s="679"/>
      <c r="W622" s="675"/>
      <c r="X622" s="675"/>
      <c r="Y622" s="675"/>
      <c r="Z622" s="675"/>
    </row>
    <row r="623">
      <c r="A623" s="675"/>
      <c r="B623" s="677"/>
      <c r="C623" s="807"/>
      <c r="D623" s="808"/>
      <c r="E623" s="693"/>
      <c r="F623" s="809"/>
      <c r="G623" s="809"/>
      <c r="H623" s="809"/>
      <c r="I623" s="809"/>
      <c r="J623" s="809"/>
      <c r="K623" s="809"/>
      <c r="L623" s="809"/>
      <c r="M623" s="809"/>
      <c r="N623" s="809"/>
      <c r="O623" s="809"/>
      <c r="P623" s="809"/>
      <c r="Q623" s="809"/>
      <c r="R623" s="675"/>
      <c r="S623" s="675"/>
      <c r="T623" s="675"/>
      <c r="U623" s="678"/>
      <c r="V623" s="679"/>
      <c r="W623" s="675"/>
      <c r="X623" s="675"/>
      <c r="Y623" s="675"/>
      <c r="Z623" s="675"/>
    </row>
    <row r="624">
      <c r="A624" s="675"/>
      <c r="B624" s="677"/>
      <c r="C624" s="807"/>
      <c r="D624" s="808"/>
      <c r="E624" s="693"/>
      <c r="F624" s="809"/>
      <c r="G624" s="809"/>
      <c r="H624" s="809"/>
      <c r="I624" s="809"/>
      <c r="J624" s="809"/>
      <c r="K624" s="809"/>
      <c r="L624" s="809"/>
      <c r="M624" s="809"/>
      <c r="N624" s="809"/>
      <c r="O624" s="809"/>
      <c r="P624" s="809"/>
      <c r="Q624" s="809"/>
      <c r="R624" s="675"/>
      <c r="S624" s="675"/>
      <c r="T624" s="675"/>
      <c r="U624" s="678"/>
      <c r="V624" s="679"/>
      <c r="W624" s="675"/>
      <c r="X624" s="675"/>
      <c r="Y624" s="675"/>
      <c r="Z624" s="675"/>
    </row>
    <row r="625">
      <c r="A625" s="675"/>
      <c r="B625" s="677"/>
      <c r="C625" s="807"/>
      <c r="D625" s="808"/>
      <c r="E625" s="693"/>
      <c r="F625" s="809"/>
      <c r="G625" s="809"/>
      <c r="H625" s="809"/>
      <c r="I625" s="809"/>
      <c r="J625" s="809"/>
      <c r="K625" s="809"/>
      <c r="L625" s="809"/>
      <c r="M625" s="809"/>
      <c r="N625" s="809"/>
      <c r="O625" s="809"/>
      <c r="P625" s="809"/>
      <c r="Q625" s="809"/>
      <c r="R625" s="675"/>
      <c r="S625" s="675"/>
      <c r="T625" s="675"/>
      <c r="U625" s="678"/>
      <c r="V625" s="679"/>
      <c r="W625" s="675"/>
      <c r="X625" s="675"/>
      <c r="Y625" s="675"/>
      <c r="Z625" s="675"/>
    </row>
    <row r="626">
      <c r="A626" s="675"/>
      <c r="B626" s="677"/>
      <c r="C626" s="807"/>
      <c r="D626" s="808"/>
      <c r="E626" s="693"/>
      <c r="F626" s="809"/>
      <c r="G626" s="809"/>
      <c r="H626" s="809"/>
      <c r="I626" s="809"/>
      <c r="J626" s="809"/>
      <c r="K626" s="809"/>
      <c r="L626" s="809"/>
      <c r="M626" s="809"/>
      <c r="N626" s="809"/>
      <c r="O626" s="809"/>
      <c r="P626" s="809"/>
      <c r="Q626" s="809"/>
      <c r="R626" s="675"/>
      <c r="S626" s="675"/>
      <c r="T626" s="675"/>
      <c r="U626" s="678"/>
      <c r="V626" s="679"/>
      <c r="W626" s="675"/>
      <c r="X626" s="675"/>
      <c r="Y626" s="675"/>
      <c r="Z626" s="675"/>
    </row>
    <row r="627">
      <c r="A627" s="675"/>
      <c r="B627" s="677"/>
      <c r="C627" s="807"/>
      <c r="D627" s="808"/>
      <c r="E627" s="693"/>
      <c r="F627" s="809"/>
      <c r="G627" s="809"/>
      <c r="H627" s="809"/>
      <c r="I627" s="809"/>
      <c r="J627" s="809"/>
      <c r="K627" s="809"/>
      <c r="L627" s="809"/>
      <c r="M627" s="809"/>
      <c r="N627" s="809"/>
      <c r="O627" s="809"/>
      <c r="P627" s="809"/>
      <c r="Q627" s="809"/>
      <c r="R627" s="675"/>
      <c r="S627" s="675"/>
      <c r="T627" s="675"/>
      <c r="U627" s="678"/>
      <c r="V627" s="679"/>
      <c r="W627" s="675"/>
      <c r="X627" s="675"/>
      <c r="Y627" s="675"/>
      <c r="Z627" s="675"/>
    </row>
    <row r="628">
      <c r="A628" s="675"/>
      <c r="B628" s="677"/>
      <c r="C628" s="807"/>
      <c r="D628" s="808"/>
      <c r="E628" s="693"/>
      <c r="F628" s="809"/>
      <c r="G628" s="809"/>
      <c r="H628" s="809"/>
      <c r="I628" s="809"/>
      <c r="J628" s="809"/>
      <c r="K628" s="809"/>
      <c r="L628" s="809"/>
      <c r="M628" s="809"/>
      <c r="N628" s="809"/>
      <c r="O628" s="809"/>
      <c r="P628" s="809"/>
      <c r="Q628" s="809"/>
      <c r="R628" s="675"/>
      <c r="S628" s="675"/>
      <c r="T628" s="675"/>
      <c r="U628" s="678"/>
      <c r="V628" s="679"/>
      <c r="W628" s="675"/>
      <c r="X628" s="675"/>
      <c r="Y628" s="675"/>
      <c r="Z628" s="675"/>
    </row>
    <row r="629">
      <c r="A629" s="675"/>
      <c r="B629" s="677"/>
      <c r="C629" s="807"/>
      <c r="D629" s="808"/>
      <c r="E629" s="693"/>
      <c r="F629" s="809"/>
      <c r="G629" s="809"/>
      <c r="H629" s="809"/>
      <c r="I629" s="809"/>
      <c r="J629" s="809"/>
      <c r="K629" s="809"/>
      <c r="L629" s="809"/>
      <c r="M629" s="809"/>
      <c r="N629" s="809"/>
      <c r="O629" s="809"/>
      <c r="P629" s="809"/>
      <c r="Q629" s="809"/>
      <c r="R629" s="675"/>
      <c r="S629" s="675"/>
      <c r="T629" s="675"/>
      <c r="U629" s="678"/>
      <c r="V629" s="679"/>
      <c r="W629" s="675"/>
      <c r="X629" s="675"/>
      <c r="Y629" s="675"/>
      <c r="Z629" s="675"/>
    </row>
    <row r="630">
      <c r="A630" s="675"/>
      <c r="B630" s="677"/>
      <c r="C630" s="807"/>
      <c r="D630" s="808"/>
      <c r="E630" s="693"/>
      <c r="F630" s="809"/>
      <c r="G630" s="809"/>
      <c r="H630" s="809"/>
      <c r="I630" s="809"/>
      <c r="J630" s="809"/>
      <c r="K630" s="809"/>
      <c r="L630" s="809"/>
      <c r="M630" s="809"/>
      <c r="N630" s="809"/>
      <c r="O630" s="809"/>
      <c r="P630" s="809"/>
      <c r="Q630" s="809"/>
      <c r="R630" s="675"/>
      <c r="S630" s="675"/>
      <c r="T630" s="675"/>
      <c r="U630" s="678"/>
      <c r="V630" s="679"/>
      <c r="W630" s="675"/>
      <c r="X630" s="675"/>
      <c r="Y630" s="675"/>
      <c r="Z630" s="675"/>
    </row>
    <row r="631">
      <c r="A631" s="675"/>
      <c r="B631" s="677"/>
      <c r="C631" s="807"/>
      <c r="D631" s="808"/>
      <c r="E631" s="693"/>
      <c r="F631" s="809"/>
      <c r="G631" s="809"/>
      <c r="H631" s="809"/>
      <c r="I631" s="809"/>
      <c r="J631" s="809"/>
      <c r="K631" s="809"/>
      <c r="L631" s="809"/>
      <c r="M631" s="809"/>
      <c r="N631" s="809"/>
      <c r="O631" s="809"/>
      <c r="P631" s="809"/>
      <c r="Q631" s="809"/>
      <c r="R631" s="675"/>
      <c r="S631" s="675"/>
      <c r="T631" s="675"/>
      <c r="U631" s="678"/>
      <c r="V631" s="679"/>
      <c r="W631" s="675"/>
      <c r="X631" s="675"/>
      <c r="Y631" s="675"/>
      <c r="Z631" s="675"/>
    </row>
    <row r="632">
      <c r="A632" s="675"/>
      <c r="B632" s="677"/>
      <c r="C632" s="807"/>
      <c r="D632" s="808"/>
      <c r="E632" s="693"/>
      <c r="F632" s="809"/>
      <c r="G632" s="809"/>
      <c r="H632" s="809"/>
      <c r="I632" s="809"/>
      <c r="J632" s="809"/>
      <c r="K632" s="809"/>
      <c r="L632" s="809"/>
      <c r="M632" s="809"/>
      <c r="N632" s="809"/>
      <c r="O632" s="809"/>
      <c r="P632" s="809"/>
      <c r="Q632" s="809"/>
      <c r="R632" s="675"/>
      <c r="S632" s="675"/>
      <c r="T632" s="675"/>
      <c r="U632" s="678"/>
      <c r="V632" s="679"/>
      <c r="W632" s="675"/>
      <c r="X632" s="675"/>
      <c r="Y632" s="675"/>
      <c r="Z632" s="675"/>
    </row>
    <row r="633">
      <c r="A633" s="675"/>
      <c r="B633" s="677"/>
      <c r="C633" s="807"/>
      <c r="D633" s="808"/>
      <c r="E633" s="693"/>
      <c r="F633" s="809"/>
      <c r="G633" s="809"/>
      <c r="H633" s="809"/>
      <c r="I633" s="809"/>
      <c r="J633" s="809"/>
      <c r="K633" s="809"/>
      <c r="L633" s="809"/>
      <c r="M633" s="809"/>
      <c r="N633" s="809"/>
      <c r="O633" s="809"/>
      <c r="P633" s="809"/>
      <c r="Q633" s="809"/>
      <c r="R633" s="675"/>
      <c r="S633" s="675"/>
      <c r="T633" s="675"/>
      <c r="U633" s="678"/>
      <c r="V633" s="679"/>
      <c r="W633" s="675"/>
      <c r="X633" s="675"/>
      <c r="Y633" s="675"/>
      <c r="Z633" s="675"/>
    </row>
    <row r="634">
      <c r="A634" s="675"/>
      <c r="B634" s="677"/>
      <c r="C634" s="807"/>
      <c r="D634" s="808"/>
      <c r="E634" s="693"/>
      <c r="F634" s="809"/>
      <c r="G634" s="809"/>
      <c r="H634" s="809"/>
      <c r="I634" s="809"/>
      <c r="J634" s="809"/>
      <c r="K634" s="809"/>
      <c r="L634" s="809"/>
      <c r="M634" s="809"/>
      <c r="N634" s="809"/>
      <c r="O634" s="809"/>
      <c r="P634" s="809"/>
      <c r="Q634" s="809"/>
      <c r="R634" s="675"/>
      <c r="S634" s="675"/>
      <c r="T634" s="675"/>
      <c r="U634" s="678"/>
      <c r="V634" s="679"/>
      <c r="W634" s="675"/>
      <c r="X634" s="675"/>
      <c r="Y634" s="675"/>
      <c r="Z634" s="675"/>
    </row>
    <row r="635">
      <c r="A635" s="675"/>
      <c r="B635" s="677"/>
      <c r="C635" s="807"/>
      <c r="D635" s="808"/>
      <c r="E635" s="693"/>
      <c r="F635" s="809"/>
      <c r="G635" s="809"/>
      <c r="H635" s="809"/>
      <c r="I635" s="809"/>
      <c r="J635" s="809"/>
      <c r="K635" s="809"/>
      <c r="L635" s="809"/>
      <c r="M635" s="809"/>
      <c r="N635" s="809"/>
      <c r="O635" s="809"/>
      <c r="P635" s="809"/>
      <c r="Q635" s="809"/>
      <c r="R635" s="675"/>
      <c r="S635" s="675"/>
      <c r="T635" s="675"/>
      <c r="U635" s="678"/>
      <c r="V635" s="679"/>
      <c r="W635" s="675"/>
      <c r="X635" s="675"/>
      <c r="Y635" s="675"/>
      <c r="Z635" s="675"/>
    </row>
    <row r="636">
      <c r="A636" s="675"/>
      <c r="B636" s="677"/>
      <c r="C636" s="807"/>
      <c r="D636" s="808"/>
      <c r="E636" s="693"/>
      <c r="F636" s="809"/>
      <c r="G636" s="809"/>
      <c r="H636" s="809"/>
      <c r="I636" s="809"/>
      <c r="J636" s="809"/>
      <c r="K636" s="809"/>
      <c r="L636" s="809"/>
      <c r="M636" s="809"/>
      <c r="N636" s="809"/>
      <c r="O636" s="809"/>
      <c r="P636" s="809"/>
      <c r="Q636" s="809"/>
      <c r="R636" s="675"/>
      <c r="S636" s="675"/>
      <c r="T636" s="675"/>
      <c r="U636" s="678"/>
      <c r="V636" s="679"/>
      <c r="W636" s="675"/>
      <c r="X636" s="675"/>
      <c r="Y636" s="675"/>
      <c r="Z636" s="675"/>
    </row>
    <row r="637">
      <c r="A637" s="675"/>
      <c r="B637" s="677"/>
      <c r="C637" s="807"/>
      <c r="D637" s="808"/>
      <c r="E637" s="693"/>
      <c r="F637" s="809"/>
      <c r="G637" s="809"/>
      <c r="H637" s="809"/>
      <c r="I637" s="809"/>
      <c r="J637" s="809"/>
      <c r="K637" s="809"/>
      <c r="L637" s="809"/>
      <c r="M637" s="809"/>
      <c r="N637" s="809"/>
      <c r="O637" s="809"/>
      <c r="P637" s="809"/>
      <c r="Q637" s="809"/>
      <c r="R637" s="675"/>
      <c r="S637" s="675"/>
      <c r="T637" s="675"/>
      <c r="U637" s="678"/>
      <c r="V637" s="679"/>
      <c r="W637" s="675"/>
      <c r="X637" s="675"/>
      <c r="Y637" s="675"/>
      <c r="Z637" s="675"/>
    </row>
    <row r="638">
      <c r="A638" s="675"/>
      <c r="B638" s="677"/>
      <c r="C638" s="807"/>
      <c r="D638" s="808"/>
      <c r="E638" s="693"/>
      <c r="F638" s="809"/>
      <c r="G638" s="809"/>
      <c r="H638" s="809"/>
      <c r="I638" s="809"/>
      <c r="J638" s="809"/>
      <c r="K638" s="809"/>
      <c r="L638" s="809"/>
      <c r="M638" s="809"/>
      <c r="N638" s="809"/>
      <c r="O638" s="809"/>
      <c r="P638" s="809"/>
      <c r="Q638" s="809"/>
      <c r="R638" s="675"/>
      <c r="S638" s="675"/>
      <c r="T638" s="675"/>
      <c r="U638" s="678"/>
      <c r="V638" s="679"/>
      <c r="W638" s="675"/>
      <c r="X638" s="675"/>
      <c r="Y638" s="675"/>
      <c r="Z638" s="675"/>
    </row>
    <row r="639">
      <c r="A639" s="675"/>
      <c r="B639" s="677"/>
      <c r="C639" s="807"/>
      <c r="D639" s="808"/>
      <c r="E639" s="693"/>
      <c r="F639" s="809"/>
      <c r="G639" s="809"/>
      <c r="H639" s="809"/>
      <c r="I639" s="809"/>
      <c r="J639" s="809"/>
      <c r="K639" s="809"/>
      <c r="L639" s="809"/>
      <c r="M639" s="809"/>
      <c r="N639" s="809"/>
      <c r="O639" s="809"/>
      <c r="P639" s="809"/>
      <c r="Q639" s="809"/>
      <c r="R639" s="675"/>
      <c r="S639" s="675"/>
      <c r="T639" s="675"/>
      <c r="U639" s="678"/>
      <c r="V639" s="679"/>
      <c r="W639" s="675"/>
      <c r="X639" s="675"/>
      <c r="Y639" s="675"/>
      <c r="Z639" s="675"/>
    </row>
    <row r="640">
      <c r="A640" s="675"/>
      <c r="B640" s="677"/>
      <c r="C640" s="807"/>
      <c r="D640" s="808"/>
      <c r="E640" s="693"/>
      <c r="F640" s="809"/>
      <c r="G640" s="809"/>
      <c r="H640" s="809"/>
      <c r="I640" s="809"/>
      <c r="J640" s="809"/>
      <c r="K640" s="809"/>
      <c r="L640" s="809"/>
      <c r="M640" s="809"/>
      <c r="N640" s="809"/>
      <c r="O640" s="809"/>
      <c r="P640" s="809"/>
      <c r="Q640" s="809"/>
      <c r="R640" s="675"/>
      <c r="S640" s="675"/>
      <c r="T640" s="675"/>
      <c r="U640" s="678"/>
      <c r="V640" s="679"/>
      <c r="W640" s="675"/>
      <c r="X640" s="675"/>
      <c r="Y640" s="675"/>
      <c r="Z640" s="675"/>
    </row>
    <row r="641">
      <c r="A641" s="675"/>
      <c r="B641" s="677"/>
      <c r="C641" s="807"/>
      <c r="D641" s="808"/>
      <c r="E641" s="693"/>
      <c r="F641" s="809"/>
      <c r="G641" s="809"/>
      <c r="H641" s="809"/>
      <c r="I641" s="809"/>
      <c r="J641" s="809"/>
      <c r="K641" s="809"/>
      <c r="L641" s="809"/>
      <c r="M641" s="809"/>
      <c r="N641" s="809"/>
      <c r="O641" s="809"/>
      <c r="P641" s="809"/>
      <c r="Q641" s="809"/>
      <c r="R641" s="675"/>
      <c r="S641" s="675"/>
      <c r="T641" s="675"/>
      <c r="U641" s="678"/>
      <c r="V641" s="679"/>
      <c r="W641" s="675"/>
      <c r="X641" s="675"/>
      <c r="Y641" s="675"/>
      <c r="Z641" s="675"/>
    </row>
    <row r="642">
      <c r="A642" s="675"/>
      <c r="B642" s="677"/>
      <c r="C642" s="807"/>
      <c r="D642" s="808"/>
      <c r="E642" s="693"/>
      <c r="F642" s="809"/>
      <c r="G642" s="809"/>
      <c r="H642" s="809"/>
      <c r="I642" s="809"/>
      <c r="J642" s="809"/>
      <c r="K642" s="809"/>
      <c r="L642" s="809"/>
      <c r="M642" s="809"/>
      <c r="N642" s="809"/>
      <c r="O642" s="809"/>
      <c r="P642" s="809"/>
      <c r="Q642" s="809"/>
      <c r="R642" s="675"/>
      <c r="S642" s="675"/>
      <c r="T642" s="675"/>
      <c r="U642" s="678"/>
      <c r="V642" s="679"/>
      <c r="W642" s="675"/>
      <c r="X642" s="675"/>
      <c r="Y642" s="675"/>
      <c r="Z642" s="675"/>
    </row>
    <row r="643">
      <c r="A643" s="675"/>
      <c r="B643" s="677"/>
      <c r="C643" s="807"/>
      <c r="D643" s="808"/>
      <c r="E643" s="693"/>
      <c r="F643" s="809"/>
      <c r="G643" s="809"/>
      <c r="H643" s="809"/>
      <c r="I643" s="809"/>
      <c r="J643" s="809"/>
      <c r="K643" s="809"/>
      <c r="L643" s="809"/>
      <c r="M643" s="809"/>
      <c r="N643" s="809"/>
      <c r="O643" s="809"/>
      <c r="P643" s="809"/>
      <c r="Q643" s="809"/>
      <c r="R643" s="675"/>
      <c r="S643" s="675"/>
      <c r="T643" s="675"/>
      <c r="U643" s="678"/>
      <c r="V643" s="679"/>
      <c r="W643" s="675"/>
      <c r="X643" s="675"/>
      <c r="Y643" s="675"/>
      <c r="Z643" s="675"/>
    </row>
    <row r="644">
      <c r="A644" s="675"/>
      <c r="B644" s="677"/>
      <c r="C644" s="807"/>
      <c r="D644" s="808"/>
      <c r="E644" s="693"/>
      <c r="F644" s="809"/>
      <c r="G644" s="809"/>
      <c r="H644" s="809"/>
      <c r="I644" s="809"/>
      <c r="J644" s="809"/>
      <c r="K644" s="809"/>
      <c r="L644" s="809"/>
      <c r="M644" s="809"/>
      <c r="N644" s="809"/>
      <c r="O644" s="809"/>
      <c r="P644" s="809"/>
      <c r="Q644" s="809"/>
      <c r="R644" s="675"/>
      <c r="S644" s="675"/>
      <c r="T644" s="675"/>
      <c r="U644" s="678"/>
      <c r="V644" s="679"/>
      <c r="W644" s="675"/>
      <c r="X644" s="675"/>
      <c r="Y644" s="675"/>
      <c r="Z644" s="675"/>
    </row>
    <row r="645">
      <c r="A645" s="675"/>
      <c r="B645" s="677"/>
      <c r="C645" s="807"/>
      <c r="D645" s="808"/>
      <c r="E645" s="693"/>
      <c r="F645" s="809"/>
      <c r="G645" s="809"/>
      <c r="H645" s="809"/>
      <c r="I645" s="809"/>
      <c r="J645" s="809"/>
      <c r="K645" s="809"/>
      <c r="L645" s="809"/>
      <c r="M645" s="809"/>
      <c r="N645" s="809"/>
      <c r="O645" s="809"/>
      <c r="P645" s="809"/>
      <c r="Q645" s="809"/>
      <c r="R645" s="675"/>
      <c r="S645" s="675"/>
      <c r="T645" s="675"/>
      <c r="U645" s="678"/>
      <c r="V645" s="679"/>
      <c r="W645" s="675"/>
      <c r="X645" s="675"/>
      <c r="Y645" s="675"/>
      <c r="Z645" s="675"/>
    </row>
    <row r="646">
      <c r="A646" s="675"/>
      <c r="B646" s="677"/>
      <c r="C646" s="807"/>
      <c r="D646" s="808"/>
      <c r="E646" s="693"/>
      <c r="F646" s="809"/>
      <c r="G646" s="809"/>
      <c r="H646" s="809"/>
      <c r="I646" s="809"/>
      <c r="J646" s="809"/>
      <c r="K646" s="809"/>
      <c r="L646" s="809"/>
      <c r="M646" s="809"/>
      <c r="N646" s="809"/>
      <c r="O646" s="809"/>
      <c r="P646" s="809"/>
      <c r="Q646" s="809"/>
      <c r="R646" s="675"/>
      <c r="S646" s="675"/>
      <c r="T646" s="675"/>
      <c r="U646" s="678"/>
      <c r="V646" s="679"/>
      <c r="W646" s="675"/>
      <c r="X646" s="675"/>
      <c r="Y646" s="675"/>
      <c r="Z646" s="675"/>
    </row>
    <row r="647">
      <c r="A647" s="675"/>
      <c r="B647" s="677"/>
      <c r="C647" s="807"/>
      <c r="D647" s="808"/>
      <c r="E647" s="693"/>
      <c r="F647" s="809"/>
      <c r="G647" s="809"/>
      <c r="H647" s="809"/>
      <c r="I647" s="809"/>
      <c r="J647" s="809"/>
      <c r="K647" s="809"/>
      <c r="L647" s="809"/>
      <c r="M647" s="809"/>
      <c r="N647" s="809"/>
      <c r="O647" s="809"/>
      <c r="P647" s="809"/>
      <c r="Q647" s="809"/>
      <c r="R647" s="675"/>
      <c r="S647" s="675"/>
      <c r="T647" s="675"/>
      <c r="U647" s="678"/>
      <c r="V647" s="679"/>
      <c r="W647" s="675"/>
      <c r="X647" s="675"/>
      <c r="Y647" s="675"/>
      <c r="Z647" s="675"/>
    </row>
    <row r="648">
      <c r="A648" s="675"/>
      <c r="B648" s="677"/>
      <c r="C648" s="807"/>
      <c r="D648" s="808"/>
      <c r="E648" s="693"/>
      <c r="F648" s="809"/>
      <c r="G648" s="809"/>
      <c r="H648" s="809"/>
      <c r="I648" s="809"/>
      <c r="J648" s="809"/>
      <c r="K648" s="809"/>
      <c r="L648" s="809"/>
      <c r="M648" s="809"/>
      <c r="N648" s="809"/>
      <c r="O648" s="809"/>
      <c r="P648" s="809"/>
      <c r="Q648" s="809"/>
      <c r="R648" s="675"/>
      <c r="S648" s="675"/>
      <c r="T648" s="675"/>
      <c r="U648" s="678"/>
      <c r="V648" s="679"/>
      <c r="W648" s="675"/>
      <c r="X648" s="675"/>
      <c r="Y648" s="675"/>
      <c r="Z648" s="675"/>
    </row>
    <row r="649">
      <c r="A649" s="675"/>
      <c r="B649" s="677"/>
      <c r="C649" s="807"/>
      <c r="D649" s="808"/>
      <c r="E649" s="693"/>
      <c r="F649" s="809"/>
      <c r="G649" s="809"/>
      <c r="H649" s="809"/>
      <c r="I649" s="809"/>
      <c r="J649" s="809"/>
      <c r="K649" s="809"/>
      <c r="L649" s="809"/>
      <c r="M649" s="809"/>
      <c r="N649" s="809"/>
      <c r="O649" s="809"/>
      <c r="P649" s="809"/>
      <c r="Q649" s="809"/>
      <c r="R649" s="675"/>
      <c r="S649" s="675"/>
      <c r="T649" s="675"/>
      <c r="U649" s="678"/>
      <c r="V649" s="679"/>
      <c r="W649" s="675"/>
      <c r="X649" s="675"/>
      <c r="Y649" s="675"/>
      <c r="Z649" s="675"/>
    </row>
    <row r="650">
      <c r="A650" s="675"/>
      <c r="B650" s="677"/>
      <c r="C650" s="807"/>
      <c r="D650" s="808"/>
      <c r="E650" s="693"/>
      <c r="F650" s="809"/>
      <c r="G650" s="809"/>
      <c r="H650" s="809"/>
      <c r="I650" s="809"/>
      <c r="J650" s="809"/>
      <c r="K650" s="809"/>
      <c r="L650" s="809"/>
      <c r="M650" s="809"/>
      <c r="N650" s="809"/>
      <c r="O650" s="809"/>
      <c r="P650" s="809"/>
      <c r="Q650" s="809"/>
      <c r="R650" s="675"/>
      <c r="S650" s="675"/>
      <c r="T650" s="675"/>
      <c r="U650" s="678"/>
      <c r="V650" s="679"/>
      <c r="W650" s="675"/>
      <c r="X650" s="675"/>
      <c r="Y650" s="675"/>
      <c r="Z650" s="675"/>
    </row>
    <row r="651">
      <c r="A651" s="675"/>
      <c r="B651" s="677"/>
      <c r="C651" s="807"/>
      <c r="D651" s="808"/>
      <c r="E651" s="693"/>
      <c r="F651" s="809"/>
      <c r="G651" s="809"/>
      <c r="H651" s="809"/>
      <c r="I651" s="809"/>
      <c r="J651" s="809"/>
      <c r="K651" s="809"/>
      <c r="L651" s="809"/>
      <c r="M651" s="809"/>
      <c r="N651" s="809"/>
      <c r="O651" s="809"/>
      <c r="P651" s="809"/>
      <c r="Q651" s="809"/>
      <c r="R651" s="675"/>
      <c r="S651" s="675"/>
      <c r="T651" s="675"/>
      <c r="U651" s="678"/>
      <c r="V651" s="679"/>
      <c r="W651" s="675"/>
      <c r="X651" s="675"/>
      <c r="Y651" s="675"/>
      <c r="Z651" s="675"/>
    </row>
    <row r="652">
      <c r="A652" s="675"/>
      <c r="B652" s="677"/>
      <c r="C652" s="807"/>
      <c r="D652" s="808"/>
      <c r="E652" s="693"/>
      <c r="F652" s="809"/>
      <c r="G652" s="809"/>
      <c r="H652" s="809"/>
      <c r="I652" s="809"/>
      <c r="J652" s="809"/>
      <c r="K652" s="809"/>
      <c r="L652" s="809"/>
      <c r="M652" s="809"/>
      <c r="N652" s="809"/>
      <c r="O652" s="809"/>
      <c r="P652" s="809"/>
      <c r="Q652" s="809"/>
      <c r="R652" s="675"/>
      <c r="S652" s="675"/>
      <c r="T652" s="675"/>
      <c r="U652" s="678"/>
      <c r="V652" s="679"/>
      <c r="W652" s="675"/>
      <c r="X652" s="675"/>
      <c r="Y652" s="675"/>
      <c r="Z652" s="675"/>
    </row>
    <row r="653">
      <c r="A653" s="675"/>
      <c r="B653" s="677"/>
      <c r="C653" s="807"/>
      <c r="D653" s="808"/>
      <c r="E653" s="693"/>
      <c r="F653" s="809"/>
      <c r="G653" s="809"/>
      <c r="H653" s="809"/>
      <c r="I653" s="809"/>
      <c r="J653" s="809"/>
      <c r="K653" s="809"/>
      <c r="L653" s="809"/>
      <c r="M653" s="809"/>
      <c r="N653" s="809"/>
      <c r="O653" s="809"/>
      <c r="P653" s="809"/>
      <c r="Q653" s="809"/>
      <c r="R653" s="675"/>
      <c r="S653" s="675"/>
      <c r="T653" s="675"/>
      <c r="U653" s="678"/>
      <c r="V653" s="679"/>
      <c r="W653" s="675"/>
      <c r="X653" s="675"/>
      <c r="Y653" s="675"/>
      <c r="Z653" s="675"/>
    </row>
    <row r="654">
      <c r="A654" s="675"/>
      <c r="B654" s="677"/>
      <c r="C654" s="807"/>
      <c r="D654" s="808"/>
      <c r="E654" s="693"/>
      <c r="F654" s="809"/>
      <c r="G654" s="809"/>
      <c r="H654" s="809"/>
      <c r="I654" s="809"/>
      <c r="J654" s="809"/>
      <c r="K654" s="809"/>
      <c r="L654" s="809"/>
      <c r="M654" s="809"/>
      <c r="N654" s="809"/>
      <c r="O654" s="809"/>
      <c r="P654" s="809"/>
      <c r="Q654" s="809"/>
      <c r="R654" s="675"/>
      <c r="S654" s="675"/>
      <c r="T654" s="675"/>
      <c r="U654" s="678"/>
      <c r="V654" s="679"/>
      <c r="W654" s="675"/>
      <c r="X654" s="675"/>
      <c r="Y654" s="675"/>
      <c r="Z654" s="675"/>
    </row>
    <row r="655">
      <c r="A655" s="675"/>
      <c r="B655" s="677"/>
      <c r="C655" s="807"/>
      <c r="D655" s="808"/>
      <c r="E655" s="693"/>
      <c r="F655" s="809"/>
      <c r="G655" s="809"/>
      <c r="H655" s="809"/>
      <c r="I655" s="809"/>
      <c r="J655" s="809"/>
      <c r="K655" s="809"/>
      <c r="L655" s="809"/>
      <c r="M655" s="809"/>
      <c r="N655" s="809"/>
      <c r="O655" s="809"/>
      <c r="P655" s="809"/>
      <c r="Q655" s="809"/>
      <c r="R655" s="675"/>
      <c r="S655" s="675"/>
      <c r="T655" s="675"/>
      <c r="U655" s="678"/>
      <c r="V655" s="679"/>
      <c r="W655" s="675"/>
      <c r="X655" s="675"/>
      <c r="Y655" s="675"/>
      <c r="Z655" s="675"/>
    </row>
    <row r="656">
      <c r="A656" s="675"/>
      <c r="B656" s="677"/>
      <c r="C656" s="807"/>
      <c r="D656" s="808"/>
      <c r="E656" s="693"/>
      <c r="F656" s="809"/>
      <c r="G656" s="809"/>
      <c r="H656" s="809"/>
      <c r="I656" s="809"/>
      <c r="J656" s="809"/>
      <c r="K656" s="809"/>
      <c r="L656" s="809"/>
      <c r="M656" s="809"/>
      <c r="N656" s="809"/>
      <c r="O656" s="809"/>
      <c r="P656" s="809"/>
      <c r="Q656" s="809"/>
      <c r="R656" s="675"/>
      <c r="S656" s="675"/>
      <c r="T656" s="675"/>
      <c r="U656" s="678"/>
      <c r="V656" s="679"/>
      <c r="W656" s="675"/>
      <c r="X656" s="675"/>
      <c r="Y656" s="675"/>
      <c r="Z656" s="675"/>
    </row>
    <row r="657">
      <c r="A657" s="675"/>
      <c r="B657" s="677"/>
      <c r="C657" s="807"/>
      <c r="D657" s="808"/>
      <c r="E657" s="693"/>
      <c r="F657" s="809"/>
      <c r="G657" s="809"/>
      <c r="H657" s="809"/>
      <c r="I657" s="809"/>
      <c r="J657" s="809"/>
      <c r="K657" s="809"/>
      <c r="L657" s="809"/>
      <c r="M657" s="809"/>
      <c r="N657" s="809"/>
      <c r="O657" s="809"/>
      <c r="P657" s="809"/>
      <c r="Q657" s="809"/>
      <c r="R657" s="675"/>
      <c r="S657" s="675"/>
      <c r="T657" s="675"/>
      <c r="U657" s="678"/>
      <c r="V657" s="679"/>
      <c r="W657" s="675"/>
      <c r="X657" s="675"/>
      <c r="Y657" s="675"/>
      <c r="Z657" s="675"/>
    </row>
    <row r="658">
      <c r="A658" s="675"/>
      <c r="B658" s="677"/>
      <c r="C658" s="807"/>
      <c r="D658" s="808"/>
      <c r="E658" s="693"/>
      <c r="F658" s="809"/>
      <c r="G658" s="809"/>
      <c r="H658" s="809"/>
      <c r="I658" s="809"/>
      <c r="J658" s="809"/>
      <c r="K658" s="809"/>
      <c r="L658" s="809"/>
      <c r="M658" s="809"/>
      <c r="N658" s="809"/>
      <c r="O658" s="809"/>
      <c r="P658" s="809"/>
      <c r="Q658" s="809"/>
      <c r="R658" s="675"/>
      <c r="S658" s="675"/>
      <c r="T658" s="675"/>
      <c r="U658" s="678"/>
      <c r="V658" s="679"/>
      <c r="W658" s="675"/>
      <c r="X658" s="675"/>
      <c r="Y658" s="675"/>
      <c r="Z658" s="675"/>
    </row>
    <row r="659">
      <c r="A659" s="675"/>
      <c r="B659" s="677"/>
      <c r="C659" s="807"/>
      <c r="D659" s="808"/>
      <c r="E659" s="693"/>
      <c r="F659" s="809"/>
      <c r="G659" s="809"/>
      <c r="H659" s="809"/>
      <c r="I659" s="809"/>
      <c r="J659" s="809"/>
      <c r="K659" s="809"/>
      <c r="L659" s="809"/>
      <c r="M659" s="809"/>
      <c r="N659" s="809"/>
      <c r="O659" s="809"/>
      <c r="P659" s="809"/>
      <c r="Q659" s="809"/>
      <c r="R659" s="675"/>
      <c r="S659" s="675"/>
      <c r="T659" s="675"/>
      <c r="U659" s="678"/>
      <c r="V659" s="679"/>
      <c r="W659" s="675"/>
      <c r="X659" s="675"/>
      <c r="Y659" s="675"/>
      <c r="Z659" s="675"/>
    </row>
    <row r="660">
      <c r="A660" s="675"/>
      <c r="B660" s="677"/>
      <c r="C660" s="807"/>
      <c r="D660" s="808"/>
      <c r="E660" s="693"/>
      <c r="F660" s="809"/>
      <c r="G660" s="809"/>
      <c r="H660" s="809"/>
      <c r="I660" s="809"/>
      <c r="J660" s="809"/>
      <c r="K660" s="809"/>
      <c r="L660" s="809"/>
      <c r="M660" s="809"/>
      <c r="N660" s="809"/>
      <c r="O660" s="809"/>
      <c r="P660" s="809"/>
      <c r="Q660" s="809"/>
      <c r="R660" s="675"/>
      <c r="S660" s="675"/>
      <c r="T660" s="675"/>
      <c r="U660" s="678"/>
      <c r="V660" s="679"/>
      <c r="W660" s="675"/>
      <c r="X660" s="675"/>
      <c r="Y660" s="675"/>
      <c r="Z660" s="675"/>
    </row>
    <row r="661">
      <c r="A661" s="675"/>
      <c r="B661" s="677"/>
      <c r="C661" s="807"/>
      <c r="D661" s="808"/>
      <c r="E661" s="693"/>
      <c r="F661" s="809"/>
      <c r="G661" s="809"/>
      <c r="H661" s="809"/>
      <c r="I661" s="809"/>
      <c r="J661" s="809"/>
      <c r="K661" s="809"/>
      <c r="L661" s="809"/>
      <c r="M661" s="809"/>
      <c r="N661" s="809"/>
      <c r="O661" s="809"/>
      <c r="P661" s="809"/>
      <c r="Q661" s="809"/>
      <c r="R661" s="675"/>
      <c r="S661" s="675"/>
      <c r="T661" s="675"/>
      <c r="U661" s="678"/>
      <c r="V661" s="679"/>
      <c r="W661" s="675"/>
      <c r="X661" s="675"/>
      <c r="Y661" s="675"/>
      <c r="Z661" s="675"/>
    </row>
    <row r="662">
      <c r="A662" s="675"/>
      <c r="B662" s="677"/>
      <c r="C662" s="807"/>
      <c r="D662" s="808"/>
      <c r="E662" s="693"/>
      <c r="F662" s="809"/>
      <c r="G662" s="809"/>
      <c r="H662" s="809"/>
      <c r="I662" s="809"/>
      <c r="J662" s="809"/>
      <c r="K662" s="809"/>
      <c r="L662" s="809"/>
      <c r="M662" s="809"/>
      <c r="N662" s="809"/>
      <c r="O662" s="809"/>
      <c r="P662" s="809"/>
      <c r="Q662" s="809"/>
      <c r="R662" s="675"/>
      <c r="S662" s="675"/>
      <c r="T662" s="675"/>
      <c r="U662" s="678"/>
      <c r="V662" s="679"/>
      <c r="W662" s="675"/>
      <c r="X662" s="675"/>
      <c r="Y662" s="675"/>
      <c r="Z662" s="675"/>
    </row>
    <row r="663">
      <c r="A663" s="675"/>
      <c r="B663" s="677"/>
      <c r="C663" s="807"/>
      <c r="D663" s="808"/>
      <c r="E663" s="693"/>
      <c r="F663" s="809"/>
      <c r="G663" s="809"/>
      <c r="H663" s="809"/>
      <c r="I663" s="809"/>
      <c r="J663" s="809"/>
      <c r="K663" s="809"/>
      <c r="L663" s="809"/>
      <c r="M663" s="809"/>
      <c r="N663" s="809"/>
      <c r="O663" s="809"/>
      <c r="P663" s="809"/>
      <c r="Q663" s="809"/>
      <c r="R663" s="675"/>
      <c r="S663" s="675"/>
      <c r="T663" s="675"/>
      <c r="U663" s="678"/>
      <c r="V663" s="679"/>
      <c r="W663" s="675"/>
      <c r="X663" s="675"/>
      <c r="Y663" s="675"/>
      <c r="Z663" s="675"/>
    </row>
    <row r="664">
      <c r="A664" s="675"/>
      <c r="B664" s="677"/>
      <c r="C664" s="807"/>
      <c r="D664" s="808"/>
      <c r="E664" s="693"/>
      <c r="F664" s="809"/>
      <c r="G664" s="809"/>
      <c r="H664" s="809"/>
      <c r="I664" s="809"/>
      <c r="J664" s="809"/>
      <c r="K664" s="809"/>
      <c r="L664" s="809"/>
      <c r="M664" s="809"/>
      <c r="N664" s="809"/>
      <c r="O664" s="809"/>
      <c r="P664" s="809"/>
      <c r="Q664" s="809"/>
      <c r="R664" s="675"/>
      <c r="S664" s="675"/>
      <c r="T664" s="675"/>
      <c r="U664" s="678"/>
      <c r="V664" s="679"/>
      <c r="W664" s="675"/>
      <c r="X664" s="675"/>
      <c r="Y664" s="675"/>
      <c r="Z664" s="675"/>
    </row>
    <row r="665">
      <c r="A665" s="675"/>
      <c r="B665" s="677"/>
      <c r="C665" s="807"/>
      <c r="D665" s="808"/>
      <c r="E665" s="693"/>
      <c r="F665" s="809"/>
      <c r="G665" s="809"/>
      <c r="H665" s="809"/>
      <c r="I665" s="809"/>
      <c r="J665" s="809"/>
      <c r="K665" s="809"/>
      <c r="L665" s="809"/>
      <c r="M665" s="809"/>
      <c r="N665" s="809"/>
      <c r="O665" s="809"/>
      <c r="P665" s="809"/>
      <c r="Q665" s="809"/>
      <c r="R665" s="675"/>
      <c r="S665" s="675"/>
      <c r="T665" s="675"/>
      <c r="U665" s="678"/>
      <c r="V665" s="679"/>
      <c r="W665" s="675"/>
      <c r="X665" s="675"/>
      <c r="Y665" s="675"/>
      <c r="Z665" s="675"/>
    </row>
    <row r="666">
      <c r="A666" s="675"/>
      <c r="B666" s="677"/>
      <c r="C666" s="807"/>
      <c r="D666" s="808"/>
      <c r="E666" s="693"/>
      <c r="F666" s="809"/>
      <c r="G666" s="809"/>
      <c r="H666" s="809"/>
      <c r="I666" s="809"/>
      <c r="J666" s="809"/>
      <c r="K666" s="809"/>
      <c r="L666" s="809"/>
      <c r="M666" s="809"/>
      <c r="N666" s="809"/>
      <c r="O666" s="809"/>
      <c r="P666" s="809"/>
      <c r="Q666" s="809"/>
      <c r="R666" s="675"/>
      <c r="S666" s="675"/>
      <c r="T666" s="675"/>
      <c r="U666" s="678"/>
      <c r="V666" s="679"/>
      <c r="W666" s="675"/>
      <c r="X666" s="675"/>
      <c r="Y666" s="675"/>
      <c r="Z666" s="675"/>
    </row>
    <row r="667">
      <c r="A667" s="675"/>
      <c r="B667" s="677"/>
      <c r="C667" s="807"/>
      <c r="D667" s="808"/>
      <c r="E667" s="693"/>
      <c r="F667" s="809"/>
      <c r="G667" s="809"/>
      <c r="H667" s="809"/>
      <c r="I667" s="809"/>
      <c r="J667" s="809"/>
      <c r="K667" s="809"/>
      <c r="L667" s="809"/>
      <c r="M667" s="809"/>
      <c r="N667" s="809"/>
      <c r="O667" s="809"/>
      <c r="P667" s="809"/>
      <c r="Q667" s="809"/>
      <c r="R667" s="675"/>
      <c r="S667" s="675"/>
      <c r="T667" s="675"/>
      <c r="U667" s="678"/>
      <c r="V667" s="679"/>
      <c r="W667" s="675"/>
      <c r="X667" s="675"/>
      <c r="Y667" s="675"/>
      <c r="Z667" s="675"/>
    </row>
    <row r="668">
      <c r="A668" s="675"/>
      <c r="B668" s="677"/>
      <c r="C668" s="807"/>
      <c r="D668" s="808"/>
      <c r="E668" s="693"/>
      <c r="F668" s="809"/>
      <c r="G668" s="809"/>
      <c r="H668" s="809"/>
      <c r="I668" s="809"/>
      <c r="J668" s="809"/>
      <c r="K668" s="809"/>
      <c r="L668" s="809"/>
      <c r="M668" s="809"/>
      <c r="N668" s="809"/>
      <c r="O668" s="809"/>
      <c r="P668" s="809"/>
      <c r="Q668" s="809"/>
      <c r="R668" s="675"/>
      <c r="S668" s="675"/>
      <c r="T668" s="675"/>
      <c r="U668" s="678"/>
      <c r="V668" s="679"/>
      <c r="W668" s="675"/>
      <c r="X668" s="675"/>
      <c r="Y668" s="675"/>
      <c r="Z668" s="675"/>
    </row>
    <row r="669">
      <c r="A669" s="675"/>
      <c r="B669" s="677"/>
      <c r="C669" s="807"/>
      <c r="D669" s="808"/>
      <c r="E669" s="693"/>
      <c r="F669" s="809"/>
      <c r="G669" s="809"/>
      <c r="H669" s="809"/>
      <c r="I669" s="809"/>
      <c r="J669" s="809"/>
      <c r="K669" s="809"/>
      <c r="L669" s="809"/>
      <c r="M669" s="809"/>
      <c r="N669" s="809"/>
      <c r="O669" s="809"/>
      <c r="P669" s="809"/>
      <c r="Q669" s="809"/>
      <c r="R669" s="675"/>
      <c r="S669" s="675"/>
      <c r="T669" s="675"/>
      <c r="U669" s="678"/>
      <c r="V669" s="679"/>
      <c r="W669" s="675"/>
      <c r="X669" s="675"/>
      <c r="Y669" s="675"/>
      <c r="Z669" s="675"/>
    </row>
    <row r="670">
      <c r="A670" s="675"/>
      <c r="B670" s="677"/>
      <c r="C670" s="807"/>
      <c r="D670" s="808"/>
      <c r="E670" s="693"/>
      <c r="F670" s="809"/>
      <c r="G670" s="809"/>
      <c r="H670" s="809"/>
      <c r="I670" s="809"/>
      <c r="J670" s="809"/>
      <c r="K670" s="809"/>
      <c r="L670" s="809"/>
      <c r="M670" s="809"/>
      <c r="N670" s="809"/>
      <c r="O670" s="809"/>
      <c r="P670" s="809"/>
      <c r="Q670" s="809"/>
      <c r="R670" s="675"/>
      <c r="S670" s="675"/>
      <c r="T670" s="675"/>
      <c r="U670" s="678"/>
      <c r="V670" s="679"/>
      <c r="W670" s="675"/>
      <c r="X670" s="675"/>
      <c r="Y670" s="675"/>
      <c r="Z670" s="675"/>
    </row>
    <row r="671">
      <c r="A671" s="675"/>
      <c r="B671" s="677"/>
      <c r="C671" s="807"/>
      <c r="D671" s="808"/>
      <c r="E671" s="693"/>
      <c r="F671" s="809"/>
      <c r="G671" s="809"/>
      <c r="H671" s="809"/>
      <c r="I671" s="809"/>
      <c r="J671" s="809"/>
      <c r="K671" s="809"/>
      <c r="L671" s="809"/>
      <c r="M671" s="809"/>
      <c r="N671" s="809"/>
      <c r="O671" s="809"/>
      <c r="P671" s="809"/>
      <c r="Q671" s="809"/>
      <c r="R671" s="675"/>
      <c r="S671" s="675"/>
      <c r="T671" s="675"/>
      <c r="U671" s="678"/>
      <c r="V671" s="679"/>
      <c r="W671" s="675"/>
      <c r="X671" s="675"/>
      <c r="Y671" s="675"/>
      <c r="Z671" s="675"/>
    </row>
    <row r="672">
      <c r="A672" s="675"/>
      <c r="B672" s="677"/>
      <c r="C672" s="807"/>
      <c r="D672" s="808"/>
      <c r="E672" s="693"/>
      <c r="F672" s="809"/>
      <c r="G672" s="809"/>
      <c r="H672" s="809"/>
      <c r="I672" s="809"/>
      <c r="J672" s="809"/>
      <c r="K672" s="809"/>
      <c r="L672" s="809"/>
      <c r="M672" s="809"/>
      <c r="N672" s="809"/>
      <c r="O672" s="809"/>
      <c r="P672" s="809"/>
      <c r="Q672" s="809"/>
      <c r="R672" s="675"/>
      <c r="S672" s="675"/>
      <c r="T672" s="675"/>
      <c r="U672" s="678"/>
      <c r="V672" s="679"/>
      <c r="W672" s="675"/>
      <c r="X672" s="675"/>
      <c r="Y672" s="675"/>
      <c r="Z672" s="675"/>
    </row>
    <row r="673">
      <c r="A673" s="675"/>
      <c r="B673" s="677"/>
      <c r="C673" s="807"/>
      <c r="D673" s="808"/>
      <c r="E673" s="693"/>
      <c r="F673" s="809"/>
      <c r="G673" s="809"/>
      <c r="H673" s="809"/>
      <c r="I673" s="809"/>
      <c r="J673" s="809"/>
      <c r="K673" s="809"/>
      <c r="L673" s="809"/>
      <c r="M673" s="809"/>
      <c r="N673" s="809"/>
      <c r="O673" s="809"/>
      <c r="P673" s="809"/>
      <c r="Q673" s="809"/>
      <c r="R673" s="675"/>
      <c r="S673" s="675"/>
      <c r="T673" s="675"/>
      <c r="U673" s="678"/>
      <c r="V673" s="679"/>
      <c r="W673" s="675"/>
      <c r="X673" s="675"/>
      <c r="Y673" s="675"/>
      <c r="Z673" s="675"/>
    </row>
    <row r="674">
      <c r="A674" s="675"/>
      <c r="B674" s="677"/>
      <c r="C674" s="807"/>
      <c r="D674" s="808"/>
      <c r="E674" s="693"/>
      <c r="F674" s="809"/>
      <c r="G674" s="809"/>
      <c r="H674" s="809"/>
      <c r="I674" s="809"/>
      <c r="J674" s="809"/>
      <c r="K674" s="809"/>
      <c r="L674" s="809"/>
      <c r="M674" s="809"/>
      <c r="N674" s="809"/>
      <c r="O674" s="809"/>
      <c r="P674" s="809"/>
      <c r="Q674" s="809"/>
      <c r="R674" s="675"/>
      <c r="S674" s="675"/>
      <c r="T674" s="675"/>
      <c r="U674" s="678"/>
      <c r="V674" s="679"/>
      <c r="W674" s="675"/>
      <c r="X674" s="675"/>
      <c r="Y674" s="675"/>
      <c r="Z674" s="675"/>
    </row>
    <row r="675">
      <c r="A675" s="675"/>
      <c r="B675" s="677"/>
      <c r="C675" s="807"/>
      <c r="D675" s="808"/>
      <c r="E675" s="693"/>
      <c r="F675" s="809"/>
      <c r="G675" s="809"/>
      <c r="H675" s="809"/>
      <c r="I675" s="809"/>
      <c r="J675" s="809"/>
      <c r="K675" s="809"/>
      <c r="L675" s="809"/>
      <c r="M675" s="809"/>
      <c r="N675" s="809"/>
      <c r="O675" s="809"/>
      <c r="P675" s="809"/>
      <c r="Q675" s="809"/>
      <c r="R675" s="675"/>
      <c r="S675" s="675"/>
      <c r="T675" s="675"/>
      <c r="U675" s="678"/>
      <c r="V675" s="679"/>
      <c r="W675" s="675"/>
      <c r="X675" s="675"/>
      <c r="Y675" s="675"/>
      <c r="Z675" s="675"/>
    </row>
    <row r="676">
      <c r="A676" s="675"/>
      <c r="B676" s="677"/>
      <c r="C676" s="807"/>
      <c r="D676" s="808"/>
      <c r="E676" s="693"/>
      <c r="F676" s="809"/>
      <c r="G676" s="809"/>
      <c r="H676" s="809"/>
      <c r="I676" s="809"/>
      <c r="J676" s="809"/>
      <c r="K676" s="809"/>
      <c r="L676" s="809"/>
      <c r="M676" s="809"/>
      <c r="N676" s="809"/>
      <c r="O676" s="809"/>
      <c r="P676" s="809"/>
      <c r="Q676" s="809"/>
      <c r="R676" s="675"/>
      <c r="S676" s="675"/>
      <c r="T676" s="675"/>
      <c r="U676" s="678"/>
      <c r="V676" s="679"/>
      <c r="W676" s="675"/>
      <c r="X676" s="675"/>
      <c r="Y676" s="675"/>
      <c r="Z676" s="675"/>
    </row>
    <row r="677">
      <c r="A677" s="675"/>
      <c r="B677" s="677"/>
      <c r="C677" s="807"/>
      <c r="D677" s="808"/>
      <c r="E677" s="693"/>
      <c r="F677" s="809"/>
      <c r="G677" s="809"/>
      <c r="H677" s="809"/>
      <c r="I677" s="809"/>
      <c r="J677" s="809"/>
      <c r="K677" s="809"/>
      <c r="L677" s="809"/>
      <c r="M677" s="809"/>
      <c r="N677" s="809"/>
      <c r="O677" s="809"/>
      <c r="P677" s="809"/>
      <c r="Q677" s="809"/>
      <c r="R677" s="675"/>
      <c r="S677" s="675"/>
      <c r="T677" s="675"/>
      <c r="U677" s="678"/>
      <c r="V677" s="679"/>
      <c r="W677" s="675"/>
      <c r="X677" s="675"/>
      <c r="Y677" s="675"/>
      <c r="Z677" s="675"/>
    </row>
    <row r="678">
      <c r="A678" s="675"/>
      <c r="B678" s="677"/>
      <c r="C678" s="807"/>
      <c r="D678" s="808"/>
      <c r="E678" s="693"/>
      <c r="F678" s="809"/>
      <c r="G678" s="809"/>
      <c r="H678" s="809"/>
      <c r="I678" s="809"/>
      <c r="J678" s="809"/>
      <c r="K678" s="809"/>
      <c r="L678" s="809"/>
      <c r="M678" s="809"/>
      <c r="N678" s="809"/>
      <c r="O678" s="809"/>
      <c r="P678" s="809"/>
      <c r="Q678" s="809"/>
      <c r="R678" s="675"/>
      <c r="S678" s="675"/>
      <c r="T678" s="675"/>
      <c r="U678" s="678"/>
      <c r="V678" s="679"/>
      <c r="W678" s="675"/>
      <c r="X678" s="675"/>
      <c r="Y678" s="675"/>
      <c r="Z678" s="675"/>
    </row>
    <row r="679">
      <c r="A679" s="675"/>
      <c r="B679" s="677"/>
      <c r="C679" s="807"/>
      <c r="D679" s="808"/>
      <c r="E679" s="693"/>
      <c r="F679" s="809"/>
      <c r="G679" s="809"/>
      <c r="H679" s="809"/>
      <c r="I679" s="809"/>
      <c r="J679" s="809"/>
      <c r="K679" s="809"/>
      <c r="L679" s="809"/>
      <c r="M679" s="809"/>
      <c r="N679" s="809"/>
      <c r="O679" s="809"/>
      <c r="P679" s="809"/>
      <c r="Q679" s="809"/>
      <c r="R679" s="675"/>
      <c r="S679" s="675"/>
      <c r="T679" s="675"/>
      <c r="U679" s="678"/>
      <c r="V679" s="679"/>
      <c r="W679" s="675"/>
      <c r="X679" s="675"/>
      <c r="Y679" s="675"/>
      <c r="Z679" s="675"/>
    </row>
    <row r="680">
      <c r="A680" s="675"/>
      <c r="B680" s="677"/>
      <c r="C680" s="807"/>
      <c r="D680" s="808"/>
      <c r="E680" s="693"/>
      <c r="F680" s="809"/>
      <c r="G680" s="809"/>
      <c r="H680" s="809"/>
      <c r="I680" s="809"/>
      <c r="J680" s="809"/>
      <c r="K680" s="809"/>
      <c r="L680" s="809"/>
      <c r="M680" s="809"/>
      <c r="N680" s="809"/>
      <c r="O680" s="809"/>
      <c r="P680" s="809"/>
      <c r="Q680" s="809"/>
      <c r="R680" s="675"/>
      <c r="S680" s="675"/>
      <c r="T680" s="675"/>
      <c r="U680" s="678"/>
      <c r="V680" s="679"/>
      <c r="W680" s="675"/>
      <c r="X680" s="675"/>
      <c r="Y680" s="675"/>
      <c r="Z680" s="675"/>
    </row>
    <row r="681">
      <c r="A681" s="675"/>
      <c r="B681" s="677"/>
      <c r="C681" s="807"/>
      <c r="D681" s="808"/>
      <c r="E681" s="693"/>
      <c r="F681" s="809"/>
      <c r="G681" s="809"/>
      <c r="H681" s="809"/>
      <c r="I681" s="809"/>
      <c r="J681" s="809"/>
      <c r="K681" s="809"/>
      <c r="L681" s="809"/>
      <c r="M681" s="809"/>
      <c r="N681" s="809"/>
      <c r="O681" s="809"/>
      <c r="P681" s="809"/>
      <c r="Q681" s="809"/>
      <c r="R681" s="675"/>
      <c r="S681" s="675"/>
      <c r="T681" s="675"/>
      <c r="U681" s="678"/>
      <c r="V681" s="679"/>
      <c r="W681" s="675"/>
      <c r="X681" s="675"/>
      <c r="Y681" s="675"/>
      <c r="Z681" s="675"/>
    </row>
    <row r="682">
      <c r="A682" s="675"/>
      <c r="B682" s="677"/>
      <c r="C682" s="807"/>
      <c r="D682" s="808"/>
      <c r="E682" s="693"/>
      <c r="F682" s="809"/>
      <c r="G682" s="809"/>
      <c r="H682" s="809"/>
      <c r="I682" s="809"/>
      <c r="J682" s="809"/>
      <c r="K682" s="809"/>
      <c r="L682" s="809"/>
      <c r="M682" s="809"/>
      <c r="N682" s="809"/>
      <c r="O682" s="809"/>
      <c r="P682" s="809"/>
      <c r="Q682" s="809"/>
      <c r="R682" s="675"/>
      <c r="S682" s="675"/>
      <c r="T682" s="675"/>
      <c r="U682" s="678"/>
      <c r="V682" s="679"/>
      <c r="W682" s="675"/>
      <c r="X682" s="675"/>
      <c r="Y682" s="675"/>
      <c r="Z682" s="675"/>
    </row>
    <row r="683">
      <c r="A683" s="675"/>
      <c r="B683" s="677"/>
      <c r="C683" s="807"/>
      <c r="D683" s="808"/>
      <c r="E683" s="693"/>
      <c r="F683" s="809"/>
      <c r="G683" s="809"/>
      <c r="H683" s="809"/>
      <c r="I683" s="809"/>
      <c r="J683" s="809"/>
      <c r="K683" s="809"/>
      <c r="L683" s="809"/>
      <c r="M683" s="809"/>
      <c r="N683" s="809"/>
      <c r="O683" s="809"/>
      <c r="P683" s="809"/>
      <c r="Q683" s="809"/>
      <c r="R683" s="675"/>
      <c r="S683" s="675"/>
      <c r="T683" s="675"/>
      <c r="U683" s="678"/>
      <c r="V683" s="679"/>
      <c r="W683" s="675"/>
      <c r="X683" s="675"/>
      <c r="Y683" s="675"/>
      <c r="Z683" s="675"/>
    </row>
    <row r="684">
      <c r="A684" s="675"/>
      <c r="B684" s="677"/>
      <c r="C684" s="807"/>
      <c r="D684" s="808"/>
      <c r="E684" s="693"/>
      <c r="F684" s="809"/>
      <c r="G684" s="809"/>
      <c r="H684" s="809"/>
      <c r="I684" s="809"/>
      <c r="J684" s="809"/>
      <c r="K684" s="809"/>
      <c r="L684" s="809"/>
      <c r="M684" s="809"/>
      <c r="N684" s="809"/>
      <c r="O684" s="809"/>
      <c r="P684" s="809"/>
      <c r="Q684" s="809"/>
      <c r="R684" s="675"/>
      <c r="S684" s="675"/>
      <c r="T684" s="675"/>
      <c r="U684" s="678"/>
      <c r="V684" s="679"/>
      <c r="W684" s="675"/>
      <c r="X684" s="675"/>
      <c r="Y684" s="675"/>
      <c r="Z684" s="675"/>
    </row>
    <row r="685">
      <c r="A685" s="675"/>
      <c r="B685" s="677"/>
      <c r="C685" s="807"/>
      <c r="D685" s="808"/>
      <c r="E685" s="693"/>
      <c r="F685" s="809"/>
      <c r="G685" s="809"/>
      <c r="H685" s="809"/>
      <c r="I685" s="809"/>
      <c r="J685" s="809"/>
      <c r="K685" s="809"/>
      <c r="L685" s="809"/>
      <c r="M685" s="809"/>
      <c r="N685" s="809"/>
      <c r="O685" s="809"/>
      <c r="P685" s="809"/>
      <c r="Q685" s="809"/>
      <c r="R685" s="675"/>
      <c r="S685" s="675"/>
      <c r="T685" s="675"/>
      <c r="U685" s="678"/>
      <c r="V685" s="679"/>
      <c r="W685" s="675"/>
      <c r="X685" s="675"/>
      <c r="Y685" s="675"/>
      <c r="Z685" s="675"/>
    </row>
    <row r="686">
      <c r="A686" s="675"/>
      <c r="B686" s="677"/>
      <c r="C686" s="807"/>
      <c r="D686" s="808"/>
      <c r="E686" s="693"/>
      <c r="F686" s="809"/>
      <c r="G686" s="809"/>
      <c r="H686" s="809"/>
      <c r="I686" s="809"/>
      <c r="J686" s="809"/>
      <c r="K686" s="809"/>
      <c r="L686" s="809"/>
      <c r="M686" s="809"/>
      <c r="N686" s="809"/>
      <c r="O686" s="809"/>
      <c r="P686" s="809"/>
      <c r="Q686" s="809"/>
      <c r="R686" s="675"/>
      <c r="S686" s="675"/>
      <c r="T686" s="675"/>
      <c r="U686" s="678"/>
      <c r="V686" s="679"/>
      <c r="W686" s="675"/>
      <c r="X686" s="675"/>
      <c r="Y686" s="675"/>
      <c r="Z686" s="675"/>
    </row>
    <row r="687">
      <c r="A687" s="675"/>
      <c r="B687" s="677"/>
      <c r="C687" s="807"/>
      <c r="D687" s="808"/>
      <c r="E687" s="693"/>
      <c r="F687" s="809"/>
      <c r="G687" s="809"/>
      <c r="H687" s="809"/>
      <c r="I687" s="809"/>
      <c r="J687" s="809"/>
      <c r="K687" s="809"/>
      <c r="L687" s="809"/>
      <c r="M687" s="809"/>
      <c r="N687" s="809"/>
      <c r="O687" s="809"/>
      <c r="P687" s="809"/>
      <c r="Q687" s="809"/>
      <c r="R687" s="675"/>
      <c r="S687" s="675"/>
      <c r="T687" s="675"/>
      <c r="U687" s="678"/>
      <c r="V687" s="679"/>
      <c r="W687" s="675"/>
      <c r="X687" s="675"/>
      <c r="Y687" s="675"/>
      <c r="Z687" s="675"/>
    </row>
    <row r="688">
      <c r="A688" s="675"/>
      <c r="B688" s="677"/>
      <c r="C688" s="807"/>
      <c r="D688" s="808"/>
      <c r="E688" s="693"/>
      <c r="F688" s="809"/>
      <c r="G688" s="809"/>
      <c r="H688" s="809"/>
      <c r="I688" s="809"/>
      <c r="J688" s="809"/>
      <c r="K688" s="809"/>
      <c r="L688" s="809"/>
      <c r="M688" s="809"/>
      <c r="N688" s="809"/>
      <c r="O688" s="809"/>
      <c r="P688" s="809"/>
      <c r="Q688" s="809"/>
      <c r="R688" s="675"/>
      <c r="S688" s="675"/>
      <c r="T688" s="675"/>
      <c r="U688" s="678"/>
      <c r="V688" s="679"/>
      <c r="W688" s="675"/>
      <c r="X688" s="675"/>
      <c r="Y688" s="675"/>
      <c r="Z688" s="675"/>
    </row>
    <row r="689">
      <c r="A689" s="675"/>
      <c r="B689" s="677"/>
      <c r="C689" s="807"/>
      <c r="D689" s="808"/>
      <c r="E689" s="693"/>
      <c r="F689" s="809"/>
      <c r="G689" s="809"/>
      <c r="H689" s="809"/>
      <c r="I689" s="809"/>
      <c r="J689" s="809"/>
      <c r="K689" s="809"/>
      <c r="L689" s="809"/>
      <c r="M689" s="809"/>
      <c r="N689" s="809"/>
      <c r="O689" s="809"/>
      <c r="P689" s="809"/>
      <c r="Q689" s="809"/>
      <c r="R689" s="675"/>
      <c r="S689" s="675"/>
      <c r="T689" s="675"/>
      <c r="U689" s="678"/>
      <c r="V689" s="679"/>
      <c r="W689" s="675"/>
      <c r="X689" s="675"/>
      <c r="Y689" s="675"/>
      <c r="Z689" s="675"/>
    </row>
    <row r="690">
      <c r="A690" s="675"/>
      <c r="B690" s="677"/>
      <c r="C690" s="807"/>
      <c r="D690" s="808"/>
      <c r="E690" s="693"/>
      <c r="F690" s="809"/>
      <c r="G690" s="809"/>
      <c r="H690" s="809"/>
      <c r="I690" s="809"/>
      <c r="J690" s="809"/>
      <c r="K690" s="809"/>
      <c r="L690" s="809"/>
      <c r="M690" s="809"/>
      <c r="N690" s="809"/>
      <c r="O690" s="809"/>
      <c r="P690" s="809"/>
      <c r="Q690" s="809"/>
      <c r="R690" s="675"/>
      <c r="S690" s="675"/>
      <c r="T690" s="675"/>
      <c r="U690" s="678"/>
      <c r="V690" s="679"/>
      <c r="W690" s="675"/>
      <c r="X690" s="675"/>
      <c r="Y690" s="675"/>
      <c r="Z690" s="675"/>
    </row>
    <row r="691">
      <c r="A691" s="675"/>
      <c r="B691" s="677"/>
      <c r="C691" s="807"/>
      <c r="D691" s="808"/>
      <c r="E691" s="693"/>
      <c r="F691" s="809"/>
      <c r="G691" s="809"/>
      <c r="H691" s="809"/>
      <c r="I691" s="809"/>
      <c r="J691" s="809"/>
      <c r="K691" s="809"/>
      <c r="L691" s="809"/>
      <c r="M691" s="809"/>
      <c r="N691" s="809"/>
      <c r="O691" s="809"/>
      <c r="P691" s="809"/>
      <c r="Q691" s="809"/>
      <c r="R691" s="675"/>
      <c r="S691" s="675"/>
      <c r="T691" s="675"/>
      <c r="U691" s="678"/>
      <c r="V691" s="679"/>
      <c r="W691" s="675"/>
      <c r="X691" s="675"/>
      <c r="Y691" s="675"/>
      <c r="Z691" s="675"/>
    </row>
    <row r="692">
      <c r="A692" s="675"/>
      <c r="B692" s="677"/>
      <c r="C692" s="807"/>
      <c r="D692" s="808"/>
      <c r="E692" s="693"/>
      <c r="F692" s="809"/>
      <c r="G692" s="809"/>
      <c r="H692" s="809"/>
      <c r="I692" s="809"/>
      <c r="J692" s="809"/>
      <c r="K692" s="809"/>
      <c r="L692" s="809"/>
      <c r="M692" s="809"/>
      <c r="N692" s="809"/>
      <c r="O692" s="809"/>
      <c r="P692" s="809"/>
      <c r="Q692" s="809"/>
      <c r="R692" s="675"/>
      <c r="S692" s="675"/>
      <c r="T692" s="675"/>
      <c r="U692" s="678"/>
      <c r="V692" s="679"/>
      <c r="W692" s="675"/>
      <c r="X692" s="675"/>
      <c r="Y692" s="675"/>
      <c r="Z692" s="675"/>
    </row>
    <row r="693">
      <c r="A693" s="675"/>
      <c r="B693" s="677"/>
      <c r="C693" s="807"/>
      <c r="D693" s="808"/>
      <c r="E693" s="693"/>
      <c r="F693" s="809"/>
      <c r="G693" s="809"/>
      <c r="H693" s="809"/>
      <c r="I693" s="809"/>
      <c r="J693" s="809"/>
      <c r="K693" s="809"/>
      <c r="L693" s="809"/>
      <c r="M693" s="809"/>
      <c r="N693" s="809"/>
      <c r="O693" s="809"/>
      <c r="P693" s="809"/>
      <c r="Q693" s="809"/>
      <c r="R693" s="675"/>
      <c r="S693" s="675"/>
      <c r="T693" s="675"/>
      <c r="U693" s="678"/>
      <c r="V693" s="679"/>
      <c r="W693" s="675"/>
      <c r="X693" s="675"/>
      <c r="Y693" s="675"/>
      <c r="Z693" s="675"/>
    </row>
    <row r="694">
      <c r="A694" s="675"/>
      <c r="B694" s="677"/>
      <c r="C694" s="807"/>
      <c r="D694" s="808"/>
      <c r="E694" s="693"/>
      <c r="F694" s="809"/>
      <c r="G694" s="809"/>
      <c r="H694" s="809"/>
      <c r="I694" s="809"/>
      <c r="J694" s="809"/>
      <c r="K694" s="809"/>
      <c r="L694" s="809"/>
      <c r="M694" s="809"/>
      <c r="N694" s="809"/>
      <c r="O694" s="809"/>
      <c r="P694" s="809"/>
      <c r="Q694" s="809"/>
      <c r="R694" s="675"/>
      <c r="S694" s="675"/>
      <c r="T694" s="675"/>
      <c r="U694" s="678"/>
      <c r="V694" s="679"/>
      <c r="W694" s="675"/>
      <c r="X694" s="675"/>
      <c r="Y694" s="675"/>
      <c r="Z694" s="675"/>
    </row>
    <row r="695">
      <c r="A695" s="675"/>
      <c r="B695" s="677"/>
      <c r="C695" s="807"/>
      <c r="D695" s="808"/>
      <c r="E695" s="693"/>
      <c r="F695" s="809"/>
      <c r="G695" s="809"/>
      <c r="H695" s="809"/>
      <c r="I695" s="809"/>
      <c r="J695" s="809"/>
      <c r="K695" s="809"/>
      <c r="L695" s="809"/>
      <c r="M695" s="809"/>
      <c r="N695" s="809"/>
      <c r="O695" s="809"/>
      <c r="P695" s="809"/>
      <c r="Q695" s="809"/>
      <c r="R695" s="675"/>
      <c r="S695" s="675"/>
      <c r="T695" s="675"/>
      <c r="U695" s="678"/>
      <c r="V695" s="679"/>
      <c r="W695" s="675"/>
      <c r="X695" s="675"/>
      <c r="Y695" s="675"/>
      <c r="Z695" s="675"/>
    </row>
    <row r="696">
      <c r="A696" s="675"/>
      <c r="B696" s="677"/>
      <c r="C696" s="807"/>
      <c r="D696" s="808"/>
      <c r="E696" s="693"/>
      <c r="F696" s="809"/>
      <c r="G696" s="809"/>
      <c r="H696" s="809"/>
      <c r="I696" s="809"/>
      <c r="J696" s="809"/>
      <c r="K696" s="809"/>
      <c r="L696" s="809"/>
      <c r="M696" s="809"/>
      <c r="N696" s="809"/>
      <c r="O696" s="809"/>
      <c r="P696" s="809"/>
      <c r="Q696" s="809"/>
      <c r="R696" s="675"/>
      <c r="S696" s="675"/>
      <c r="T696" s="675"/>
      <c r="U696" s="678"/>
      <c r="V696" s="679"/>
      <c r="W696" s="675"/>
      <c r="X696" s="675"/>
      <c r="Y696" s="675"/>
      <c r="Z696" s="675"/>
    </row>
    <row r="697">
      <c r="A697" s="675"/>
      <c r="B697" s="677"/>
      <c r="C697" s="807"/>
      <c r="D697" s="808"/>
      <c r="E697" s="693"/>
      <c r="F697" s="809"/>
      <c r="G697" s="809"/>
      <c r="H697" s="809"/>
      <c r="I697" s="809"/>
      <c r="J697" s="809"/>
      <c r="K697" s="809"/>
      <c r="L697" s="809"/>
      <c r="M697" s="809"/>
      <c r="N697" s="809"/>
      <c r="O697" s="809"/>
      <c r="P697" s="809"/>
      <c r="Q697" s="809"/>
      <c r="R697" s="675"/>
      <c r="S697" s="675"/>
      <c r="T697" s="675"/>
      <c r="U697" s="678"/>
      <c r="V697" s="679"/>
      <c r="W697" s="675"/>
      <c r="X697" s="675"/>
      <c r="Y697" s="675"/>
      <c r="Z697" s="675"/>
    </row>
    <row r="698">
      <c r="A698" s="675"/>
      <c r="B698" s="677"/>
      <c r="C698" s="807"/>
      <c r="D698" s="808"/>
      <c r="E698" s="693"/>
      <c r="F698" s="809"/>
      <c r="G698" s="809"/>
      <c r="H698" s="809"/>
      <c r="I698" s="809"/>
      <c r="J698" s="809"/>
      <c r="K698" s="809"/>
      <c r="L698" s="809"/>
      <c r="M698" s="809"/>
      <c r="N698" s="809"/>
      <c r="O698" s="809"/>
      <c r="P698" s="809"/>
      <c r="Q698" s="809"/>
      <c r="R698" s="675"/>
      <c r="S698" s="675"/>
      <c r="T698" s="675"/>
      <c r="U698" s="678"/>
      <c r="V698" s="679"/>
      <c r="W698" s="675"/>
      <c r="X698" s="675"/>
      <c r="Y698" s="675"/>
      <c r="Z698" s="675"/>
    </row>
    <row r="699">
      <c r="A699" s="675"/>
      <c r="B699" s="677"/>
      <c r="C699" s="807"/>
      <c r="D699" s="808"/>
      <c r="E699" s="693"/>
      <c r="F699" s="809"/>
      <c r="G699" s="809"/>
      <c r="H699" s="809"/>
      <c r="I699" s="809"/>
      <c r="J699" s="809"/>
      <c r="K699" s="809"/>
      <c r="L699" s="809"/>
      <c r="M699" s="809"/>
      <c r="N699" s="809"/>
      <c r="O699" s="809"/>
      <c r="P699" s="809"/>
      <c r="Q699" s="809"/>
      <c r="R699" s="675"/>
      <c r="S699" s="675"/>
      <c r="T699" s="675"/>
      <c r="U699" s="678"/>
      <c r="V699" s="679"/>
      <c r="W699" s="675"/>
      <c r="X699" s="675"/>
      <c r="Y699" s="675"/>
      <c r="Z699" s="675"/>
    </row>
    <row r="700">
      <c r="A700" s="675"/>
      <c r="B700" s="677"/>
      <c r="C700" s="807"/>
      <c r="D700" s="808"/>
      <c r="E700" s="693"/>
      <c r="F700" s="809"/>
      <c r="G700" s="809"/>
      <c r="H700" s="809"/>
      <c r="I700" s="809"/>
      <c r="J700" s="809"/>
      <c r="K700" s="809"/>
      <c r="L700" s="809"/>
      <c r="M700" s="809"/>
      <c r="N700" s="809"/>
      <c r="O700" s="809"/>
      <c r="P700" s="809"/>
      <c r="Q700" s="809"/>
      <c r="R700" s="675"/>
      <c r="S700" s="675"/>
      <c r="T700" s="675"/>
      <c r="U700" s="678"/>
      <c r="V700" s="679"/>
      <c r="W700" s="675"/>
      <c r="X700" s="675"/>
      <c r="Y700" s="675"/>
      <c r="Z700" s="675"/>
    </row>
    <row r="701">
      <c r="A701" s="675"/>
      <c r="B701" s="677"/>
      <c r="C701" s="807"/>
      <c r="D701" s="808"/>
      <c r="E701" s="693"/>
      <c r="F701" s="809"/>
      <c r="G701" s="809"/>
      <c r="H701" s="809"/>
      <c r="I701" s="809"/>
      <c r="J701" s="809"/>
      <c r="K701" s="809"/>
      <c r="L701" s="809"/>
      <c r="M701" s="809"/>
      <c r="N701" s="809"/>
      <c r="O701" s="809"/>
      <c r="P701" s="809"/>
      <c r="Q701" s="809"/>
      <c r="R701" s="675"/>
      <c r="S701" s="675"/>
      <c r="T701" s="675"/>
      <c r="U701" s="678"/>
      <c r="V701" s="679"/>
      <c r="W701" s="675"/>
      <c r="X701" s="675"/>
      <c r="Y701" s="675"/>
      <c r="Z701" s="675"/>
    </row>
    <row r="702">
      <c r="A702" s="675"/>
      <c r="B702" s="677"/>
      <c r="C702" s="807"/>
      <c r="D702" s="808"/>
      <c r="E702" s="693"/>
      <c r="F702" s="809"/>
      <c r="G702" s="809"/>
      <c r="H702" s="809"/>
      <c r="I702" s="809"/>
      <c r="J702" s="809"/>
      <c r="K702" s="809"/>
      <c r="L702" s="809"/>
      <c r="M702" s="809"/>
      <c r="N702" s="809"/>
      <c r="O702" s="809"/>
      <c r="P702" s="809"/>
      <c r="Q702" s="809"/>
      <c r="R702" s="675"/>
      <c r="S702" s="675"/>
      <c r="T702" s="675"/>
      <c r="U702" s="678"/>
      <c r="V702" s="679"/>
      <c r="W702" s="675"/>
      <c r="X702" s="675"/>
      <c r="Y702" s="675"/>
      <c r="Z702" s="675"/>
    </row>
    <row r="703">
      <c r="A703" s="675"/>
      <c r="B703" s="677"/>
      <c r="C703" s="807"/>
      <c r="D703" s="808"/>
      <c r="E703" s="693"/>
      <c r="F703" s="809"/>
      <c r="G703" s="809"/>
      <c r="H703" s="809"/>
      <c r="I703" s="809"/>
      <c r="J703" s="809"/>
      <c r="K703" s="809"/>
      <c r="L703" s="809"/>
      <c r="M703" s="809"/>
      <c r="N703" s="809"/>
      <c r="O703" s="809"/>
      <c r="P703" s="809"/>
      <c r="Q703" s="809"/>
      <c r="R703" s="675"/>
      <c r="S703" s="675"/>
      <c r="T703" s="675"/>
      <c r="U703" s="678"/>
      <c r="V703" s="679"/>
      <c r="W703" s="675"/>
      <c r="X703" s="675"/>
      <c r="Y703" s="675"/>
      <c r="Z703" s="675"/>
    </row>
    <row r="704">
      <c r="A704" s="675"/>
      <c r="B704" s="677"/>
      <c r="C704" s="807"/>
      <c r="D704" s="808"/>
      <c r="E704" s="693"/>
      <c r="F704" s="809"/>
      <c r="G704" s="809"/>
      <c r="H704" s="809"/>
      <c r="I704" s="809"/>
      <c r="J704" s="809"/>
      <c r="K704" s="809"/>
      <c r="L704" s="809"/>
      <c r="M704" s="809"/>
      <c r="N704" s="809"/>
      <c r="O704" s="809"/>
      <c r="P704" s="809"/>
      <c r="Q704" s="809"/>
      <c r="R704" s="675"/>
      <c r="S704" s="675"/>
      <c r="T704" s="675"/>
      <c r="U704" s="678"/>
      <c r="V704" s="679"/>
      <c r="W704" s="675"/>
      <c r="X704" s="675"/>
      <c r="Y704" s="675"/>
      <c r="Z704" s="675"/>
    </row>
    <row r="705">
      <c r="A705" s="675"/>
      <c r="B705" s="677"/>
      <c r="C705" s="807"/>
      <c r="D705" s="808"/>
      <c r="E705" s="693"/>
      <c r="F705" s="809"/>
      <c r="G705" s="809"/>
      <c r="H705" s="809"/>
      <c r="I705" s="809"/>
      <c r="J705" s="809"/>
      <c r="K705" s="809"/>
      <c r="L705" s="809"/>
      <c r="M705" s="809"/>
      <c r="N705" s="809"/>
      <c r="O705" s="809"/>
      <c r="P705" s="809"/>
      <c r="Q705" s="809"/>
      <c r="R705" s="675"/>
      <c r="S705" s="675"/>
      <c r="T705" s="675"/>
      <c r="U705" s="678"/>
      <c r="V705" s="679"/>
      <c r="W705" s="675"/>
      <c r="X705" s="675"/>
      <c r="Y705" s="675"/>
      <c r="Z705" s="675"/>
    </row>
    <row r="706">
      <c r="A706" s="675"/>
      <c r="B706" s="677"/>
      <c r="C706" s="807"/>
      <c r="D706" s="808"/>
      <c r="E706" s="693"/>
      <c r="F706" s="809"/>
      <c r="G706" s="809"/>
      <c r="H706" s="809"/>
      <c r="I706" s="809"/>
      <c r="J706" s="809"/>
      <c r="K706" s="809"/>
      <c r="L706" s="809"/>
      <c r="M706" s="809"/>
      <c r="N706" s="809"/>
      <c r="O706" s="809"/>
      <c r="P706" s="809"/>
      <c r="Q706" s="809"/>
      <c r="R706" s="675"/>
      <c r="S706" s="675"/>
      <c r="T706" s="675"/>
      <c r="U706" s="678"/>
      <c r="V706" s="679"/>
      <c r="W706" s="675"/>
      <c r="X706" s="675"/>
      <c r="Y706" s="675"/>
      <c r="Z706" s="675"/>
    </row>
    <row r="707">
      <c r="A707" s="675"/>
      <c r="B707" s="677"/>
      <c r="C707" s="807"/>
      <c r="D707" s="808"/>
      <c r="E707" s="693"/>
      <c r="F707" s="809"/>
      <c r="G707" s="809"/>
      <c r="H707" s="809"/>
      <c r="I707" s="809"/>
      <c r="J707" s="809"/>
      <c r="K707" s="809"/>
      <c r="L707" s="809"/>
      <c r="M707" s="809"/>
      <c r="N707" s="809"/>
      <c r="O707" s="809"/>
      <c r="P707" s="809"/>
      <c r="Q707" s="809"/>
      <c r="R707" s="675"/>
      <c r="S707" s="675"/>
      <c r="T707" s="675"/>
      <c r="U707" s="678"/>
      <c r="V707" s="679"/>
      <c r="W707" s="675"/>
      <c r="X707" s="675"/>
      <c r="Y707" s="675"/>
      <c r="Z707" s="675"/>
    </row>
    <row r="708">
      <c r="A708" s="675"/>
      <c r="B708" s="677"/>
      <c r="C708" s="807"/>
      <c r="D708" s="808"/>
      <c r="E708" s="693"/>
      <c r="F708" s="809"/>
      <c r="G708" s="809"/>
      <c r="H708" s="809"/>
      <c r="I708" s="809"/>
      <c r="J708" s="809"/>
      <c r="K708" s="809"/>
      <c r="L708" s="809"/>
      <c r="M708" s="809"/>
      <c r="N708" s="809"/>
      <c r="O708" s="809"/>
      <c r="P708" s="809"/>
      <c r="Q708" s="809"/>
      <c r="R708" s="675"/>
      <c r="S708" s="675"/>
      <c r="T708" s="675"/>
      <c r="U708" s="678"/>
      <c r="V708" s="679"/>
      <c r="W708" s="675"/>
      <c r="X708" s="675"/>
      <c r="Y708" s="675"/>
      <c r="Z708" s="675"/>
    </row>
    <row r="709">
      <c r="A709" s="675"/>
      <c r="B709" s="677"/>
      <c r="C709" s="807"/>
      <c r="D709" s="808"/>
      <c r="E709" s="693"/>
      <c r="F709" s="809"/>
      <c r="G709" s="809"/>
      <c r="H709" s="809"/>
      <c r="I709" s="809"/>
      <c r="J709" s="809"/>
      <c r="K709" s="809"/>
      <c r="L709" s="809"/>
      <c r="M709" s="809"/>
      <c r="N709" s="809"/>
      <c r="O709" s="809"/>
      <c r="P709" s="809"/>
      <c r="Q709" s="809"/>
      <c r="R709" s="675"/>
      <c r="S709" s="675"/>
      <c r="T709" s="675"/>
      <c r="U709" s="678"/>
      <c r="V709" s="679"/>
      <c r="W709" s="675"/>
      <c r="X709" s="675"/>
      <c r="Y709" s="675"/>
      <c r="Z709" s="675"/>
    </row>
    <row r="710">
      <c r="A710" s="675"/>
      <c r="B710" s="677"/>
      <c r="C710" s="807"/>
      <c r="D710" s="808"/>
      <c r="E710" s="693"/>
      <c r="F710" s="809"/>
      <c r="G710" s="809"/>
      <c r="H710" s="809"/>
      <c r="I710" s="809"/>
      <c r="J710" s="809"/>
      <c r="K710" s="809"/>
      <c r="L710" s="809"/>
      <c r="M710" s="809"/>
      <c r="N710" s="809"/>
      <c r="O710" s="809"/>
      <c r="P710" s="809"/>
      <c r="Q710" s="809"/>
      <c r="R710" s="675"/>
      <c r="S710" s="675"/>
      <c r="T710" s="675"/>
      <c r="U710" s="678"/>
      <c r="V710" s="679"/>
      <c r="W710" s="675"/>
      <c r="X710" s="675"/>
      <c r="Y710" s="675"/>
      <c r="Z710" s="675"/>
    </row>
    <row r="711">
      <c r="A711" s="675"/>
      <c r="B711" s="677"/>
      <c r="C711" s="807"/>
      <c r="D711" s="808"/>
      <c r="E711" s="693"/>
      <c r="F711" s="809"/>
      <c r="G711" s="809"/>
      <c r="H711" s="809"/>
      <c r="I711" s="809"/>
      <c r="J711" s="809"/>
      <c r="K711" s="809"/>
      <c r="L711" s="809"/>
      <c r="M711" s="809"/>
      <c r="N711" s="809"/>
      <c r="O711" s="809"/>
      <c r="P711" s="809"/>
      <c r="Q711" s="809"/>
      <c r="R711" s="675"/>
      <c r="S711" s="675"/>
      <c r="T711" s="675"/>
      <c r="U711" s="678"/>
      <c r="V711" s="679"/>
      <c r="W711" s="675"/>
      <c r="X711" s="675"/>
      <c r="Y711" s="675"/>
      <c r="Z711" s="675"/>
    </row>
    <row r="712">
      <c r="A712" s="675"/>
      <c r="B712" s="677"/>
      <c r="C712" s="807"/>
      <c r="D712" s="808"/>
      <c r="E712" s="693"/>
      <c r="F712" s="809"/>
      <c r="G712" s="809"/>
      <c r="H712" s="809"/>
      <c r="I712" s="809"/>
      <c r="J712" s="809"/>
      <c r="K712" s="809"/>
      <c r="L712" s="809"/>
      <c r="M712" s="809"/>
      <c r="N712" s="809"/>
      <c r="O712" s="809"/>
      <c r="P712" s="809"/>
      <c r="Q712" s="809"/>
      <c r="R712" s="675"/>
      <c r="S712" s="675"/>
      <c r="T712" s="675"/>
      <c r="U712" s="678"/>
      <c r="V712" s="679"/>
      <c r="W712" s="675"/>
      <c r="X712" s="675"/>
      <c r="Y712" s="675"/>
      <c r="Z712" s="675"/>
    </row>
    <row r="713">
      <c r="A713" s="675"/>
      <c r="B713" s="677"/>
      <c r="C713" s="807"/>
      <c r="D713" s="808"/>
      <c r="E713" s="693"/>
      <c r="F713" s="809"/>
      <c r="G713" s="809"/>
      <c r="H713" s="809"/>
      <c r="I713" s="809"/>
      <c r="J713" s="809"/>
      <c r="K713" s="809"/>
      <c r="L713" s="809"/>
      <c r="M713" s="809"/>
      <c r="N713" s="809"/>
      <c r="O713" s="809"/>
      <c r="P713" s="809"/>
      <c r="Q713" s="809"/>
      <c r="R713" s="675"/>
      <c r="S713" s="675"/>
      <c r="T713" s="675"/>
      <c r="U713" s="678"/>
      <c r="V713" s="679"/>
      <c r="W713" s="675"/>
      <c r="X713" s="675"/>
      <c r="Y713" s="675"/>
      <c r="Z713" s="675"/>
    </row>
    <row r="714">
      <c r="A714" s="675"/>
      <c r="B714" s="677"/>
      <c r="C714" s="807"/>
      <c r="D714" s="808"/>
      <c r="E714" s="693"/>
      <c r="F714" s="809"/>
      <c r="G714" s="809"/>
      <c r="H714" s="809"/>
      <c r="I714" s="809"/>
      <c r="J714" s="809"/>
      <c r="K714" s="809"/>
      <c r="L714" s="809"/>
      <c r="M714" s="809"/>
      <c r="N714" s="809"/>
      <c r="O714" s="809"/>
      <c r="P714" s="809"/>
      <c r="Q714" s="809"/>
      <c r="R714" s="675"/>
      <c r="S714" s="675"/>
      <c r="T714" s="675"/>
      <c r="U714" s="678"/>
      <c r="V714" s="679"/>
      <c r="W714" s="675"/>
      <c r="X714" s="675"/>
      <c r="Y714" s="675"/>
      <c r="Z714" s="675"/>
    </row>
    <row r="715">
      <c r="A715" s="675"/>
      <c r="B715" s="677"/>
      <c r="C715" s="807"/>
      <c r="D715" s="808"/>
      <c r="E715" s="693"/>
      <c r="F715" s="809"/>
      <c r="G715" s="809"/>
      <c r="H715" s="809"/>
      <c r="I715" s="809"/>
      <c r="J715" s="809"/>
      <c r="K715" s="809"/>
      <c r="L715" s="809"/>
      <c r="M715" s="809"/>
      <c r="N715" s="809"/>
      <c r="O715" s="809"/>
      <c r="P715" s="809"/>
      <c r="Q715" s="809"/>
      <c r="R715" s="675"/>
      <c r="S715" s="675"/>
      <c r="T715" s="675"/>
      <c r="U715" s="678"/>
      <c r="V715" s="679"/>
      <c r="W715" s="675"/>
      <c r="X715" s="675"/>
      <c r="Y715" s="675"/>
      <c r="Z715" s="675"/>
    </row>
    <row r="716">
      <c r="A716" s="675"/>
      <c r="B716" s="677"/>
      <c r="C716" s="807"/>
      <c r="D716" s="808"/>
      <c r="E716" s="693"/>
      <c r="F716" s="809"/>
      <c r="G716" s="809"/>
      <c r="H716" s="809"/>
      <c r="I716" s="809"/>
      <c r="J716" s="809"/>
      <c r="K716" s="809"/>
      <c r="L716" s="809"/>
      <c r="M716" s="809"/>
      <c r="N716" s="809"/>
      <c r="O716" s="809"/>
      <c r="P716" s="809"/>
      <c r="Q716" s="809"/>
      <c r="R716" s="675"/>
      <c r="S716" s="675"/>
      <c r="T716" s="675"/>
      <c r="U716" s="678"/>
      <c r="V716" s="679"/>
      <c r="W716" s="675"/>
      <c r="X716" s="675"/>
      <c r="Y716" s="675"/>
      <c r="Z716" s="675"/>
    </row>
    <row r="717">
      <c r="A717" s="675"/>
      <c r="B717" s="677"/>
      <c r="C717" s="807"/>
      <c r="D717" s="808"/>
      <c r="E717" s="693"/>
      <c r="F717" s="809"/>
      <c r="G717" s="809"/>
      <c r="H717" s="809"/>
      <c r="I717" s="809"/>
      <c r="J717" s="809"/>
      <c r="K717" s="809"/>
      <c r="L717" s="809"/>
      <c r="M717" s="809"/>
      <c r="N717" s="809"/>
      <c r="O717" s="809"/>
      <c r="P717" s="809"/>
      <c r="Q717" s="809"/>
      <c r="R717" s="675"/>
      <c r="S717" s="675"/>
      <c r="T717" s="675"/>
      <c r="U717" s="678"/>
      <c r="V717" s="679"/>
      <c r="W717" s="675"/>
      <c r="X717" s="675"/>
      <c r="Y717" s="675"/>
      <c r="Z717" s="675"/>
    </row>
    <row r="718">
      <c r="A718" s="675"/>
      <c r="B718" s="677"/>
      <c r="C718" s="807"/>
      <c r="D718" s="808"/>
      <c r="E718" s="693"/>
      <c r="F718" s="809"/>
      <c r="G718" s="809"/>
      <c r="H718" s="809"/>
      <c r="I718" s="809"/>
      <c r="J718" s="809"/>
      <c r="K718" s="809"/>
      <c r="L718" s="809"/>
      <c r="M718" s="809"/>
      <c r="N718" s="809"/>
      <c r="O718" s="809"/>
      <c r="P718" s="809"/>
      <c r="Q718" s="809"/>
      <c r="R718" s="675"/>
      <c r="S718" s="675"/>
      <c r="T718" s="675"/>
      <c r="U718" s="678"/>
      <c r="V718" s="679"/>
      <c r="W718" s="675"/>
      <c r="X718" s="675"/>
      <c r="Y718" s="675"/>
      <c r="Z718" s="675"/>
    </row>
    <row r="719">
      <c r="A719" s="675"/>
      <c r="B719" s="677"/>
      <c r="C719" s="807"/>
      <c r="D719" s="808"/>
      <c r="E719" s="693"/>
      <c r="F719" s="809"/>
      <c r="G719" s="809"/>
      <c r="H719" s="809"/>
      <c r="I719" s="809"/>
      <c r="J719" s="809"/>
      <c r="K719" s="809"/>
      <c r="L719" s="809"/>
      <c r="M719" s="809"/>
      <c r="N719" s="809"/>
      <c r="O719" s="809"/>
      <c r="P719" s="809"/>
      <c r="Q719" s="809"/>
      <c r="R719" s="675"/>
      <c r="S719" s="675"/>
      <c r="T719" s="675"/>
      <c r="U719" s="678"/>
      <c r="V719" s="679"/>
      <c r="W719" s="675"/>
      <c r="X719" s="675"/>
      <c r="Y719" s="675"/>
      <c r="Z719" s="675"/>
    </row>
    <row r="720">
      <c r="A720" s="675"/>
      <c r="B720" s="677"/>
      <c r="C720" s="807"/>
      <c r="D720" s="808"/>
      <c r="E720" s="693"/>
      <c r="F720" s="809"/>
      <c r="G720" s="809"/>
      <c r="H720" s="809"/>
      <c r="I720" s="809"/>
      <c r="J720" s="809"/>
      <c r="K720" s="809"/>
      <c r="L720" s="809"/>
      <c r="M720" s="809"/>
      <c r="N720" s="809"/>
      <c r="O720" s="809"/>
      <c r="P720" s="809"/>
      <c r="Q720" s="809"/>
      <c r="R720" s="675"/>
      <c r="S720" s="675"/>
      <c r="T720" s="675"/>
      <c r="U720" s="678"/>
      <c r="V720" s="679"/>
      <c r="W720" s="675"/>
      <c r="X720" s="675"/>
      <c r="Y720" s="675"/>
      <c r="Z720" s="675"/>
    </row>
    <row r="721">
      <c r="A721" s="675"/>
      <c r="B721" s="677"/>
      <c r="C721" s="807"/>
      <c r="D721" s="808"/>
      <c r="E721" s="693"/>
      <c r="F721" s="809"/>
      <c r="G721" s="809"/>
      <c r="H721" s="809"/>
      <c r="I721" s="809"/>
      <c r="J721" s="809"/>
      <c r="K721" s="809"/>
      <c r="L721" s="809"/>
      <c r="M721" s="809"/>
      <c r="N721" s="809"/>
      <c r="O721" s="809"/>
      <c r="P721" s="809"/>
      <c r="Q721" s="809"/>
      <c r="R721" s="675"/>
      <c r="S721" s="675"/>
      <c r="T721" s="675"/>
      <c r="U721" s="678"/>
      <c r="V721" s="679"/>
      <c r="W721" s="675"/>
      <c r="X721" s="675"/>
      <c r="Y721" s="675"/>
      <c r="Z721" s="675"/>
    </row>
    <row r="722">
      <c r="A722" s="675"/>
      <c r="B722" s="677"/>
      <c r="C722" s="807"/>
      <c r="D722" s="808"/>
      <c r="E722" s="693"/>
      <c r="F722" s="809"/>
      <c r="G722" s="809"/>
      <c r="H722" s="809"/>
      <c r="I722" s="809"/>
      <c r="J722" s="809"/>
      <c r="K722" s="809"/>
      <c r="L722" s="809"/>
      <c r="M722" s="809"/>
      <c r="N722" s="809"/>
      <c r="O722" s="809"/>
      <c r="P722" s="809"/>
      <c r="Q722" s="809"/>
      <c r="R722" s="675"/>
      <c r="S722" s="675"/>
      <c r="T722" s="675"/>
      <c r="U722" s="678"/>
      <c r="V722" s="679"/>
      <c r="W722" s="675"/>
      <c r="X722" s="675"/>
      <c r="Y722" s="675"/>
      <c r="Z722" s="675"/>
    </row>
    <row r="723">
      <c r="A723" s="675"/>
      <c r="B723" s="677"/>
      <c r="C723" s="807"/>
      <c r="D723" s="808"/>
      <c r="E723" s="693"/>
      <c r="F723" s="809"/>
      <c r="G723" s="809"/>
      <c r="H723" s="809"/>
      <c r="I723" s="809"/>
      <c r="J723" s="809"/>
      <c r="K723" s="809"/>
      <c r="L723" s="809"/>
      <c r="M723" s="809"/>
      <c r="N723" s="809"/>
      <c r="O723" s="809"/>
      <c r="P723" s="809"/>
      <c r="Q723" s="809"/>
      <c r="R723" s="675"/>
      <c r="S723" s="675"/>
      <c r="T723" s="675"/>
      <c r="U723" s="678"/>
      <c r="V723" s="679"/>
      <c r="W723" s="675"/>
      <c r="X723" s="675"/>
      <c r="Y723" s="675"/>
      <c r="Z723" s="675"/>
    </row>
    <row r="724">
      <c r="A724" s="675"/>
      <c r="B724" s="677"/>
      <c r="C724" s="807"/>
      <c r="D724" s="808"/>
      <c r="E724" s="693"/>
      <c r="F724" s="809"/>
      <c r="G724" s="809"/>
      <c r="H724" s="809"/>
      <c r="I724" s="809"/>
      <c r="J724" s="809"/>
      <c r="K724" s="809"/>
      <c r="L724" s="809"/>
      <c r="M724" s="809"/>
      <c r="N724" s="809"/>
      <c r="O724" s="809"/>
      <c r="P724" s="809"/>
      <c r="Q724" s="809"/>
      <c r="R724" s="675"/>
      <c r="S724" s="675"/>
      <c r="T724" s="675"/>
      <c r="U724" s="678"/>
      <c r="V724" s="679"/>
      <c r="W724" s="675"/>
      <c r="X724" s="675"/>
      <c r="Y724" s="675"/>
      <c r="Z724" s="675"/>
    </row>
    <row r="725">
      <c r="A725" s="675"/>
      <c r="B725" s="677"/>
      <c r="C725" s="807"/>
      <c r="D725" s="808"/>
      <c r="E725" s="693"/>
      <c r="F725" s="809"/>
      <c r="G725" s="809"/>
      <c r="H725" s="809"/>
      <c r="I725" s="809"/>
      <c r="J725" s="809"/>
      <c r="K725" s="809"/>
      <c r="L725" s="809"/>
      <c r="M725" s="809"/>
      <c r="N725" s="809"/>
      <c r="O725" s="809"/>
      <c r="P725" s="809"/>
      <c r="Q725" s="809"/>
      <c r="R725" s="675"/>
      <c r="S725" s="675"/>
      <c r="T725" s="675"/>
      <c r="U725" s="678"/>
      <c r="V725" s="679"/>
      <c r="W725" s="675"/>
      <c r="X725" s="675"/>
      <c r="Y725" s="675"/>
      <c r="Z725" s="675"/>
    </row>
    <row r="726">
      <c r="A726" s="675"/>
      <c r="B726" s="677"/>
      <c r="C726" s="807"/>
      <c r="D726" s="808"/>
      <c r="E726" s="693"/>
      <c r="F726" s="809"/>
      <c r="G726" s="809"/>
      <c r="H726" s="809"/>
      <c r="I726" s="809"/>
      <c r="J726" s="809"/>
      <c r="K726" s="809"/>
      <c r="L726" s="809"/>
      <c r="M726" s="809"/>
      <c r="N726" s="809"/>
      <c r="O726" s="809"/>
      <c r="P726" s="809"/>
      <c r="Q726" s="809"/>
      <c r="R726" s="675"/>
      <c r="S726" s="675"/>
      <c r="T726" s="675"/>
      <c r="U726" s="678"/>
      <c r="V726" s="679"/>
      <c r="W726" s="675"/>
      <c r="X726" s="675"/>
      <c r="Y726" s="675"/>
      <c r="Z726" s="675"/>
    </row>
    <row r="727">
      <c r="A727" s="675"/>
      <c r="B727" s="677"/>
      <c r="C727" s="807"/>
      <c r="D727" s="808"/>
      <c r="E727" s="693"/>
      <c r="F727" s="809"/>
      <c r="G727" s="809"/>
      <c r="H727" s="809"/>
      <c r="I727" s="809"/>
      <c r="J727" s="809"/>
      <c r="K727" s="809"/>
      <c r="L727" s="809"/>
      <c r="M727" s="809"/>
      <c r="N727" s="809"/>
      <c r="O727" s="809"/>
      <c r="P727" s="809"/>
      <c r="Q727" s="809"/>
      <c r="R727" s="675"/>
      <c r="S727" s="675"/>
      <c r="T727" s="675"/>
      <c r="U727" s="678"/>
      <c r="V727" s="679"/>
      <c r="W727" s="675"/>
      <c r="X727" s="675"/>
      <c r="Y727" s="675"/>
      <c r="Z727" s="675"/>
    </row>
    <row r="728">
      <c r="A728" s="675"/>
      <c r="B728" s="677"/>
      <c r="C728" s="807"/>
      <c r="D728" s="808"/>
      <c r="E728" s="693"/>
      <c r="F728" s="809"/>
      <c r="G728" s="809"/>
      <c r="H728" s="809"/>
      <c r="I728" s="809"/>
      <c r="J728" s="809"/>
      <c r="K728" s="809"/>
      <c r="L728" s="809"/>
      <c r="M728" s="809"/>
      <c r="N728" s="809"/>
      <c r="O728" s="809"/>
      <c r="P728" s="809"/>
      <c r="Q728" s="809"/>
      <c r="R728" s="675"/>
      <c r="S728" s="675"/>
      <c r="T728" s="675"/>
      <c r="U728" s="678"/>
      <c r="V728" s="679"/>
      <c r="W728" s="675"/>
      <c r="X728" s="675"/>
      <c r="Y728" s="675"/>
      <c r="Z728" s="675"/>
    </row>
    <row r="729">
      <c r="A729" s="675"/>
      <c r="B729" s="677"/>
      <c r="C729" s="807"/>
      <c r="D729" s="808"/>
      <c r="E729" s="693"/>
      <c r="F729" s="809"/>
      <c r="G729" s="809"/>
      <c r="H729" s="809"/>
      <c r="I729" s="809"/>
      <c r="J729" s="809"/>
      <c r="K729" s="809"/>
      <c r="L729" s="809"/>
      <c r="M729" s="809"/>
      <c r="N729" s="809"/>
      <c r="O729" s="809"/>
      <c r="P729" s="809"/>
      <c r="Q729" s="809"/>
      <c r="R729" s="675"/>
      <c r="S729" s="675"/>
      <c r="T729" s="675"/>
      <c r="U729" s="678"/>
      <c r="V729" s="679"/>
      <c r="W729" s="675"/>
      <c r="X729" s="675"/>
      <c r="Y729" s="675"/>
      <c r="Z729" s="675"/>
    </row>
    <row r="730">
      <c r="A730" s="675"/>
      <c r="B730" s="677"/>
      <c r="C730" s="807"/>
      <c r="D730" s="808"/>
      <c r="E730" s="693"/>
      <c r="F730" s="809"/>
      <c r="G730" s="809"/>
      <c r="H730" s="809"/>
      <c r="I730" s="809"/>
      <c r="J730" s="809"/>
      <c r="K730" s="809"/>
      <c r="L730" s="809"/>
      <c r="M730" s="809"/>
      <c r="N730" s="809"/>
      <c r="O730" s="809"/>
      <c r="P730" s="809"/>
      <c r="Q730" s="809"/>
      <c r="R730" s="675"/>
      <c r="S730" s="675"/>
      <c r="T730" s="675"/>
      <c r="U730" s="678"/>
      <c r="V730" s="679"/>
      <c r="W730" s="675"/>
      <c r="X730" s="675"/>
      <c r="Y730" s="675"/>
      <c r="Z730" s="675"/>
    </row>
    <row r="731">
      <c r="A731" s="675"/>
      <c r="B731" s="677"/>
      <c r="C731" s="807"/>
      <c r="D731" s="808"/>
      <c r="E731" s="693"/>
      <c r="F731" s="809"/>
      <c r="G731" s="809"/>
      <c r="H731" s="809"/>
      <c r="I731" s="809"/>
      <c r="J731" s="809"/>
      <c r="K731" s="809"/>
      <c r="L731" s="809"/>
      <c r="M731" s="809"/>
      <c r="N731" s="809"/>
      <c r="O731" s="809"/>
      <c r="P731" s="809"/>
      <c r="Q731" s="809"/>
      <c r="R731" s="675"/>
      <c r="S731" s="675"/>
      <c r="T731" s="675"/>
      <c r="U731" s="678"/>
      <c r="V731" s="679"/>
      <c r="W731" s="675"/>
      <c r="X731" s="675"/>
      <c r="Y731" s="675"/>
      <c r="Z731" s="675"/>
    </row>
    <row r="732">
      <c r="A732" s="675"/>
      <c r="B732" s="677"/>
      <c r="C732" s="807"/>
      <c r="D732" s="808"/>
      <c r="E732" s="693"/>
      <c r="F732" s="809"/>
      <c r="G732" s="809"/>
      <c r="H732" s="809"/>
      <c r="I732" s="809"/>
      <c r="J732" s="809"/>
      <c r="K732" s="809"/>
      <c r="L732" s="809"/>
      <c r="M732" s="809"/>
      <c r="N732" s="809"/>
      <c r="O732" s="809"/>
      <c r="P732" s="809"/>
      <c r="Q732" s="809"/>
      <c r="R732" s="675"/>
      <c r="S732" s="675"/>
      <c r="T732" s="675"/>
      <c r="U732" s="678"/>
      <c r="V732" s="679"/>
      <c r="W732" s="675"/>
      <c r="X732" s="675"/>
      <c r="Y732" s="675"/>
      <c r="Z732" s="675"/>
    </row>
    <row r="733">
      <c r="A733" s="675"/>
      <c r="B733" s="677"/>
      <c r="C733" s="807"/>
      <c r="D733" s="808"/>
      <c r="E733" s="693"/>
      <c r="F733" s="809"/>
      <c r="G733" s="809"/>
      <c r="H733" s="809"/>
      <c r="I733" s="809"/>
      <c r="J733" s="809"/>
      <c r="K733" s="809"/>
      <c r="L733" s="809"/>
      <c r="M733" s="809"/>
      <c r="N733" s="809"/>
      <c r="O733" s="809"/>
      <c r="P733" s="809"/>
      <c r="Q733" s="809"/>
      <c r="R733" s="675"/>
      <c r="S733" s="675"/>
      <c r="T733" s="675"/>
      <c r="U733" s="678"/>
      <c r="V733" s="679"/>
      <c r="W733" s="675"/>
      <c r="X733" s="675"/>
      <c r="Y733" s="675"/>
      <c r="Z733" s="675"/>
    </row>
    <row r="734">
      <c r="A734" s="675"/>
      <c r="B734" s="677"/>
      <c r="C734" s="807"/>
      <c r="D734" s="808"/>
      <c r="E734" s="693"/>
      <c r="F734" s="809"/>
      <c r="G734" s="809"/>
      <c r="H734" s="809"/>
      <c r="I734" s="809"/>
      <c r="J734" s="809"/>
      <c r="K734" s="809"/>
      <c r="L734" s="809"/>
      <c r="M734" s="809"/>
      <c r="N734" s="809"/>
      <c r="O734" s="809"/>
      <c r="P734" s="809"/>
      <c r="Q734" s="809"/>
      <c r="R734" s="675"/>
      <c r="S734" s="675"/>
      <c r="T734" s="675"/>
      <c r="U734" s="678"/>
      <c r="V734" s="679"/>
      <c r="W734" s="675"/>
      <c r="X734" s="675"/>
      <c r="Y734" s="675"/>
      <c r="Z734" s="675"/>
    </row>
    <row r="735">
      <c r="A735" s="675"/>
      <c r="B735" s="677"/>
      <c r="C735" s="807"/>
      <c r="D735" s="808"/>
      <c r="E735" s="693"/>
      <c r="F735" s="809"/>
      <c r="G735" s="809"/>
      <c r="H735" s="809"/>
      <c r="I735" s="809"/>
      <c r="J735" s="809"/>
      <c r="K735" s="809"/>
      <c r="L735" s="809"/>
      <c r="M735" s="809"/>
      <c r="N735" s="809"/>
      <c r="O735" s="809"/>
      <c r="P735" s="809"/>
      <c r="Q735" s="809"/>
      <c r="R735" s="675"/>
      <c r="S735" s="675"/>
      <c r="T735" s="675"/>
      <c r="U735" s="678"/>
      <c r="V735" s="679"/>
      <c r="W735" s="675"/>
      <c r="X735" s="675"/>
      <c r="Y735" s="675"/>
      <c r="Z735" s="675"/>
    </row>
    <row r="736">
      <c r="A736" s="675"/>
      <c r="B736" s="677"/>
      <c r="C736" s="807"/>
      <c r="D736" s="808"/>
      <c r="E736" s="693"/>
      <c r="F736" s="809"/>
      <c r="G736" s="809"/>
      <c r="H736" s="809"/>
      <c r="I736" s="809"/>
      <c r="J736" s="809"/>
      <c r="K736" s="809"/>
      <c r="L736" s="809"/>
      <c r="M736" s="809"/>
      <c r="N736" s="809"/>
      <c r="O736" s="809"/>
      <c r="P736" s="809"/>
      <c r="Q736" s="809"/>
      <c r="R736" s="675"/>
      <c r="S736" s="675"/>
      <c r="T736" s="675"/>
      <c r="U736" s="678"/>
      <c r="V736" s="679"/>
      <c r="W736" s="675"/>
      <c r="X736" s="675"/>
      <c r="Y736" s="675"/>
      <c r="Z736" s="675"/>
    </row>
    <row r="737">
      <c r="A737" s="675"/>
      <c r="B737" s="677"/>
      <c r="C737" s="807"/>
      <c r="D737" s="808"/>
      <c r="E737" s="693"/>
      <c r="F737" s="809"/>
      <c r="G737" s="809"/>
      <c r="H737" s="809"/>
      <c r="I737" s="809"/>
      <c r="J737" s="809"/>
      <c r="K737" s="809"/>
      <c r="L737" s="809"/>
      <c r="M737" s="809"/>
      <c r="N737" s="809"/>
      <c r="O737" s="809"/>
      <c r="P737" s="809"/>
      <c r="Q737" s="809"/>
      <c r="R737" s="675"/>
      <c r="S737" s="675"/>
      <c r="T737" s="675"/>
      <c r="U737" s="678"/>
      <c r="V737" s="679"/>
      <c r="W737" s="675"/>
      <c r="X737" s="675"/>
      <c r="Y737" s="675"/>
      <c r="Z737" s="675"/>
    </row>
    <row r="738">
      <c r="A738" s="675"/>
      <c r="B738" s="677"/>
      <c r="C738" s="807"/>
      <c r="D738" s="808"/>
      <c r="E738" s="693"/>
      <c r="F738" s="809"/>
      <c r="G738" s="809"/>
      <c r="H738" s="809"/>
      <c r="I738" s="809"/>
      <c r="J738" s="809"/>
      <c r="K738" s="809"/>
      <c r="L738" s="809"/>
      <c r="M738" s="809"/>
      <c r="N738" s="809"/>
      <c r="O738" s="809"/>
      <c r="P738" s="809"/>
      <c r="Q738" s="809"/>
      <c r="R738" s="675"/>
      <c r="S738" s="675"/>
      <c r="T738" s="675"/>
      <c r="U738" s="678"/>
      <c r="V738" s="679"/>
      <c r="W738" s="675"/>
      <c r="X738" s="675"/>
      <c r="Y738" s="675"/>
      <c r="Z738" s="675"/>
    </row>
    <row r="739">
      <c r="A739" s="675"/>
      <c r="B739" s="677"/>
      <c r="C739" s="807"/>
      <c r="D739" s="808"/>
      <c r="E739" s="693"/>
      <c r="F739" s="809"/>
      <c r="G739" s="809"/>
      <c r="H739" s="809"/>
      <c r="I739" s="809"/>
      <c r="J739" s="809"/>
      <c r="K739" s="809"/>
      <c r="L739" s="809"/>
      <c r="M739" s="809"/>
      <c r="N739" s="809"/>
      <c r="O739" s="809"/>
      <c r="P739" s="809"/>
      <c r="Q739" s="809"/>
      <c r="R739" s="675"/>
      <c r="S739" s="675"/>
      <c r="T739" s="675"/>
      <c r="U739" s="678"/>
      <c r="V739" s="679"/>
      <c r="W739" s="675"/>
      <c r="X739" s="675"/>
      <c r="Y739" s="675"/>
      <c r="Z739" s="675"/>
    </row>
    <row r="740">
      <c r="A740" s="675"/>
      <c r="B740" s="677"/>
      <c r="C740" s="807"/>
      <c r="D740" s="808"/>
      <c r="E740" s="693"/>
      <c r="F740" s="809"/>
      <c r="G740" s="809"/>
      <c r="H740" s="809"/>
      <c r="I740" s="809"/>
      <c r="J740" s="809"/>
      <c r="K740" s="809"/>
      <c r="L740" s="809"/>
      <c r="M740" s="809"/>
      <c r="N740" s="809"/>
      <c r="O740" s="809"/>
      <c r="P740" s="809"/>
      <c r="Q740" s="809"/>
      <c r="R740" s="675"/>
      <c r="S740" s="675"/>
      <c r="T740" s="675"/>
      <c r="U740" s="678"/>
      <c r="V740" s="679"/>
      <c r="W740" s="675"/>
      <c r="X740" s="675"/>
      <c r="Y740" s="675"/>
      <c r="Z740" s="675"/>
    </row>
    <row r="741">
      <c r="A741" s="675"/>
      <c r="B741" s="677"/>
      <c r="C741" s="807"/>
      <c r="D741" s="808"/>
      <c r="E741" s="693"/>
      <c r="F741" s="809"/>
      <c r="G741" s="809"/>
      <c r="H741" s="809"/>
      <c r="I741" s="809"/>
      <c r="J741" s="809"/>
      <c r="K741" s="809"/>
      <c r="L741" s="809"/>
      <c r="M741" s="809"/>
      <c r="N741" s="809"/>
      <c r="O741" s="809"/>
      <c r="P741" s="809"/>
      <c r="Q741" s="809"/>
      <c r="R741" s="675"/>
      <c r="S741" s="675"/>
      <c r="T741" s="675"/>
      <c r="U741" s="678"/>
      <c r="V741" s="679"/>
      <c r="W741" s="675"/>
      <c r="X741" s="675"/>
      <c r="Y741" s="675"/>
      <c r="Z741" s="675"/>
    </row>
    <row r="742">
      <c r="A742" s="675"/>
      <c r="B742" s="677"/>
      <c r="C742" s="807"/>
      <c r="D742" s="808"/>
      <c r="E742" s="693"/>
      <c r="F742" s="809"/>
      <c r="G742" s="809"/>
      <c r="H742" s="809"/>
      <c r="I742" s="809"/>
      <c r="J742" s="809"/>
      <c r="K742" s="809"/>
      <c r="L742" s="809"/>
      <c r="M742" s="809"/>
      <c r="N742" s="809"/>
      <c r="O742" s="809"/>
      <c r="P742" s="809"/>
      <c r="Q742" s="809"/>
      <c r="R742" s="675"/>
      <c r="S742" s="675"/>
      <c r="T742" s="675"/>
      <c r="U742" s="678"/>
      <c r="V742" s="679"/>
      <c r="W742" s="675"/>
      <c r="X742" s="675"/>
      <c r="Y742" s="675"/>
      <c r="Z742" s="675"/>
    </row>
    <row r="743">
      <c r="A743" s="675"/>
      <c r="B743" s="677"/>
      <c r="C743" s="807"/>
      <c r="D743" s="808"/>
      <c r="E743" s="693"/>
      <c r="F743" s="809"/>
      <c r="G743" s="809"/>
      <c r="H743" s="809"/>
      <c r="I743" s="809"/>
      <c r="J743" s="809"/>
      <c r="K743" s="809"/>
      <c r="L743" s="809"/>
      <c r="M743" s="809"/>
      <c r="N743" s="809"/>
      <c r="O743" s="809"/>
      <c r="P743" s="809"/>
      <c r="Q743" s="809"/>
      <c r="R743" s="675"/>
      <c r="S743" s="675"/>
      <c r="T743" s="675"/>
      <c r="U743" s="678"/>
      <c r="V743" s="679"/>
      <c r="W743" s="675"/>
      <c r="X743" s="675"/>
      <c r="Y743" s="675"/>
      <c r="Z743" s="675"/>
    </row>
    <row r="744">
      <c r="A744" s="675"/>
      <c r="B744" s="677"/>
      <c r="C744" s="807"/>
      <c r="D744" s="808"/>
      <c r="E744" s="693"/>
      <c r="F744" s="809"/>
      <c r="G744" s="809"/>
      <c r="H744" s="809"/>
      <c r="I744" s="809"/>
      <c r="J744" s="809"/>
      <c r="K744" s="809"/>
      <c r="L744" s="809"/>
      <c r="M744" s="809"/>
      <c r="N744" s="809"/>
      <c r="O744" s="809"/>
      <c r="P744" s="809"/>
      <c r="Q744" s="809"/>
      <c r="R744" s="675"/>
      <c r="S744" s="675"/>
      <c r="T744" s="675"/>
      <c r="U744" s="678"/>
      <c r="V744" s="679"/>
      <c r="W744" s="675"/>
      <c r="X744" s="675"/>
      <c r="Y744" s="675"/>
      <c r="Z744" s="675"/>
    </row>
    <row r="745">
      <c r="A745" s="675"/>
      <c r="B745" s="677"/>
      <c r="C745" s="807"/>
      <c r="D745" s="808"/>
      <c r="E745" s="693"/>
      <c r="F745" s="809"/>
      <c r="G745" s="809"/>
      <c r="H745" s="809"/>
      <c r="I745" s="809"/>
      <c r="J745" s="809"/>
      <c r="K745" s="809"/>
      <c r="L745" s="809"/>
      <c r="M745" s="809"/>
      <c r="N745" s="809"/>
      <c r="O745" s="809"/>
      <c r="P745" s="809"/>
      <c r="Q745" s="809"/>
      <c r="R745" s="675"/>
      <c r="S745" s="675"/>
      <c r="T745" s="675"/>
      <c r="U745" s="678"/>
      <c r="V745" s="679"/>
      <c r="W745" s="675"/>
      <c r="X745" s="675"/>
      <c r="Y745" s="675"/>
      <c r="Z745" s="675"/>
    </row>
    <row r="746">
      <c r="A746" s="675"/>
      <c r="B746" s="677"/>
      <c r="C746" s="807"/>
      <c r="D746" s="808"/>
      <c r="E746" s="693"/>
      <c r="F746" s="809"/>
      <c r="G746" s="809"/>
      <c r="H746" s="809"/>
      <c r="I746" s="809"/>
      <c r="J746" s="809"/>
      <c r="K746" s="809"/>
      <c r="L746" s="809"/>
      <c r="M746" s="809"/>
      <c r="N746" s="809"/>
      <c r="O746" s="809"/>
      <c r="P746" s="809"/>
      <c r="Q746" s="809"/>
      <c r="R746" s="675"/>
      <c r="S746" s="675"/>
      <c r="T746" s="675"/>
      <c r="U746" s="678"/>
      <c r="V746" s="679"/>
      <c r="W746" s="675"/>
      <c r="X746" s="675"/>
      <c r="Y746" s="675"/>
      <c r="Z746" s="675"/>
    </row>
    <row r="747">
      <c r="A747" s="675"/>
      <c r="B747" s="677"/>
      <c r="C747" s="807"/>
      <c r="D747" s="808"/>
      <c r="E747" s="693"/>
      <c r="F747" s="809"/>
      <c r="G747" s="809"/>
      <c r="H747" s="809"/>
      <c r="I747" s="809"/>
      <c r="J747" s="809"/>
      <c r="K747" s="809"/>
      <c r="L747" s="809"/>
      <c r="M747" s="809"/>
      <c r="N747" s="809"/>
      <c r="O747" s="809"/>
      <c r="P747" s="809"/>
      <c r="Q747" s="809"/>
      <c r="R747" s="675"/>
      <c r="S747" s="675"/>
      <c r="T747" s="675"/>
      <c r="U747" s="678"/>
      <c r="V747" s="679"/>
      <c r="W747" s="675"/>
      <c r="X747" s="675"/>
      <c r="Y747" s="675"/>
      <c r="Z747" s="675"/>
    </row>
    <row r="748">
      <c r="A748" s="675"/>
      <c r="B748" s="677"/>
      <c r="C748" s="807"/>
      <c r="D748" s="808"/>
      <c r="E748" s="693"/>
      <c r="F748" s="809"/>
      <c r="G748" s="809"/>
      <c r="H748" s="809"/>
      <c r="I748" s="809"/>
      <c r="J748" s="809"/>
      <c r="K748" s="809"/>
      <c r="L748" s="809"/>
      <c r="M748" s="809"/>
      <c r="N748" s="809"/>
      <c r="O748" s="809"/>
      <c r="P748" s="809"/>
      <c r="Q748" s="809"/>
      <c r="R748" s="675"/>
      <c r="S748" s="675"/>
      <c r="T748" s="675"/>
      <c r="U748" s="678"/>
      <c r="V748" s="679"/>
      <c r="W748" s="675"/>
      <c r="X748" s="675"/>
      <c r="Y748" s="675"/>
      <c r="Z748" s="675"/>
    </row>
    <row r="749">
      <c r="A749" s="675"/>
      <c r="B749" s="677"/>
      <c r="C749" s="807"/>
      <c r="D749" s="808"/>
      <c r="E749" s="693"/>
      <c r="F749" s="809"/>
      <c r="G749" s="809"/>
      <c r="H749" s="809"/>
      <c r="I749" s="809"/>
      <c r="J749" s="809"/>
      <c r="K749" s="809"/>
      <c r="L749" s="809"/>
      <c r="M749" s="809"/>
      <c r="N749" s="809"/>
      <c r="O749" s="809"/>
      <c r="P749" s="809"/>
      <c r="Q749" s="809"/>
      <c r="R749" s="675"/>
      <c r="S749" s="675"/>
      <c r="T749" s="675"/>
      <c r="U749" s="678"/>
      <c r="V749" s="679"/>
      <c r="W749" s="675"/>
      <c r="X749" s="675"/>
      <c r="Y749" s="675"/>
      <c r="Z749" s="675"/>
    </row>
    <row r="750">
      <c r="A750" s="675"/>
      <c r="B750" s="677"/>
      <c r="C750" s="807"/>
      <c r="D750" s="808"/>
      <c r="E750" s="693"/>
      <c r="F750" s="809"/>
      <c r="G750" s="809"/>
      <c r="H750" s="809"/>
      <c r="I750" s="809"/>
      <c r="J750" s="809"/>
      <c r="K750" s="809"/>
      <c r="L750" s="809"/>
      <c r="M750" s="809"/>
      <c r="N750" s="809"/>
      <c r="O750" s="809"/>
      <c r="P750" s="809"/>
      <c r="Q750" s="809"/>
      <c r="R750" s="675"/>
      <c r="S750" s="675"/>
      <c r="T750" s="675"/>
      <c r="U750" s="678"/>
      <c r="V750" s="679"/>
      <c r="W750" s="675"/>
      <c r="X750" s="675"/>
      <c r="Y750" s="675"/>
      <c r="Z750" s="675"/>
    </row>
    <row r="751">
      <c r="A751" s="675"/>
      <c r="B751" s="677"/>
      <c r="C751" s="807"/>
      <c r="D751" s="808"/>
      <c r="E751" s="693"/>
      <c r="F751" s="809"/>
      <c r="G751" s="809"/>
      <c r="H751" s="809"/>
      <c r="I751" s="809"/>
      <c r="J751" s="809"/>
      <c r="K751" s="809"/>
      <c r="L751" s="809"/>
      <c r="M751" s="809"/>
      <c r="N751" s="809"/>
      <c r="O751" s="809"/>
      <c r="P751" s="809"/>
      <c r="Q751" s="809"/>
      <c r="R751" s="675"/>
      <c r="S751" s="675"/>
      <c r="T751" s="675"/>
      <c r="U751" s="678"/>
      <c r="V751" s="679"/>
      <c r="W751" s="675"/>
      <c r="X751" s="675"/>
      <c r="Y751" s="675"/>
      <c r="Z751" s="675"/>
    </row>
    <row r="752">
      <c r="A752" s="675"/>
      <c r="B752" s="677"/>
      <c r="C752" s="807"/>
      <c r="D752" s="808"/>
      <c r="E752" s="693"/>
      <c r="F752" s="809"/>
      <c r="G752" s="809"/>
      <c r="H752" s="809"/>
      <c r="I752" s="809"/>
      <c r="J752" s="809"/>
      <c r="K752" s="809"/>
      <c r="L752" s="809"/>
      <c r="M752" s="809"/>
      <c r="N752" s="809"/>
      <c r="O752" s="809"/>
      <c r="P752" s="809"/>
      <c r="Q752" s="809"/>
      <c r="R752" s="675"/>
      <c r="S752" s="675"/>
      <c r="T752" s="675"/>
      <c r="U752" s="678"/>
      <c r="V752" s="679"/>
      <c r="W752" s="675"/>
      <c r="X752" s="675"/>
      <c r="Y752" s="675"/>
      <c r="Z752" s="675"/>
    </row>
    <row r="753">
      <c r="A753" s="675"/>
      <c r="B753" s="677"/>
      <c r="C753" s="807"/>
      <c r="D753" s="808"/>
      <c r="E753" s="693"/>
      <c r="F753" s="809"/>
      <c r="G753" s="809"/>
      <c r="H753" s="809"/>
      <c r="I753" s="809"/>
      <c r="J753" s="809"/>
      <c r="K753" s="809"/>
      <c r="L753" s="809"/>
      <c r="M753" s="809"/>
      <c r="N753" s="809"/>
      <c r="O753" s="809"/>
      <c r="P753" s="809"/>
      <c r="Q753" s="809"/>
      <c r="R753" s="675"/>
      <c r="S753" s="675"/>
      <c r="T753" s="675"/>
      <c r="U753" s="678"/>
      <c r="V753" s="679"/>
      <c r="W753" s="675"/>
      <c r="X753" s="675"/>
      <c r="Y753" s="675"/>
      <c r="Z753" s="675"/>
    </row>
    <row r="754">
      <c r="A754" s="675"/>
      <c r="B754" s="677"/>
      <c r="C754" s="807"/>
      <c r="D754" s="808"/>
      <c r="E754" s="693"/>
      <c r="F754" s="809"/>
      <c r="G754" s="809"/>
      <c r="H754" s="809"/>
      <c r="I754" s="809"/>
      <c r="J754" s="809"/>
      <c r="K754" s="809"/>
      <c r="L754" s="809"/>
      <c r="M754" s="809"/>
      <c r="N754" s="809"/>
      <c r="O754" s="809"/>
      <c r="P754" s="809"/>
      <c r="Q754" s="809"/>
      <c r="R754" s="675"/>
      <c r="S754" s="675"/>
      <c r="T754" s="675"/>
      <c r="U754" s="678"/>
      <c r="V754" s="679"/>
      <c r="W754" s="675"/>
      <c r="X754" s="675"/>
      <c r="Y754" s="675"/>
      <c r="Z754" s="675"/>
    </row>
    <row r="755">
      <c r="A755" s="675"/>
      <c r="B755" s="677"/>
      <c r="C755" s="807"/>
      <c r="D755" s="808"/>
      <c r="E755" s="693"/>
      <c r="F755" s="809"/>
      <c r="G755" s="809"/>
      <c r="H755" s="809"/>
      <c r="I755" s="809"/>
      <c r="J755" s="809"/>
      <c r="K755" s="809"/>
      <c r="L755" s="809"/>
      <c r="M755" s="809"/>
      <c r="N755" s="809"/>
      <c r="O755" s="809"/>
      <c r="P755" s="809"/>
      <c r="Q755" s="809"/>
      <c r="R755" s="675"/>
      <c r="S755" s="675"/>
      <c r="T755" s="675"/>
      <c r="U755" s="678"/>
      <c r="V755" s="679"/>
      <c r="W755" s="675"/>
      <c r="X755" s="675"/>
      <c r="Y755" s="675"/>
      <c r="Z755" s="675"/>
    </row>
    <row r="756">
      <c r="A756" s="675"/>
      <c r="B756" s="677"/>
      <c r="C756" s="807"/>
      <c r="D756" s="808"/>
      <c r="E756" s="693"/>
      <c r="F756" s="809"/>
      <c r="G756" s="809"/>
      <c r="H756" s="809"/>
      <c r="I756" s="809"/>
      <c r="J756" s="809"/>
      <c r="K756" s="809"/>
      <c r="L756" s="809"/>
      <c r="M756" s="809"/>
      <c r="N756" s="809"/>
      <c r="O756" s="809"/>
      <c r="P756" s="809"/>
      <c r="Q756" s="809"/>
      <c r="R756" s="675"/>
      <c r="S756" s="675"/>
      <c r="T756" s="675"/>
      <c r="U756" s="678"/>
      <c r="V756" s="679"/>
      <c r="W756" s="675"/>
      <c r="X756" s="675"/>
      <c r="Y756" s="675"/>
      <c r="Z756" s="675"/>
    </row>
    <row r="757">
      <c r="A757" s="675"/>
      <c r="B757" s="677"/>
      <c r="C757" s="807"/>
      <c r="D757" s="808"/>
      <c r="E757" s="693"/>
      <c r="F757" s="809"/>
      <c r="G757" s="809"/>
      <c r="H757" s="809"/>
      <c r="I757" s="809"/>
      <c r="J757" s="809"/>
      <c r="K757" s="809"/>
      <c r="L757" s="809"/>
      <c r="M757" s="809"/>
      <c r="N757" s="809"/>
      <c r="O757" s="809"/>
      <c r="P757" s="809"/>
      <c r="Q757" s="809"/>
      <c r="R757" s="675"/>
      <c r="S757" s="675"/>
      <c r="T757" s="675"/>
      <c r="U757" s="678"/>
      <c r="V757" s="679"/>
      <c r="W757" s="675"/>
      <c r="X757" s="675"/>
      <c r="Y757" s="675"/>
      <c r="Z757" s="675"/>
    </row>
    <row r="758">
      <c r="A758" s="675"/>
      <c r="B758" s="677"/>
      <c r="C758" s="807"/>
      <c r="D758" s="808"/>
      <c r="E758" s="693"/>
      <c r="F758" s="809"/>
      <c r="G758" s="809"/>
      <c r="H758" s="809"/>
      <c r="I758" s="809"/>
      <c r="J758" s="809"/>
      <c r="K758" s="809"/>
      <c r="L758" s="809"/>
      <c r="M758" s="809"/>
      <c r="N758" s="809"/>
      <c r="O758" s="809"/>
      <c r="P758" s="809"/>
      <c r="Q758" s="809"/>
      <c r="R758" s="675"/>
      <c r="S758" s="675"/>
      <c r="T758" s="675"/>
      <c r="U758" s="678"/>
      <c r="V758" s="679"/>
      <c r="W758" s="675"/>
      <c r="X758" s="675"/>
      <c r="Y758" s="675"/>
      <c r="Z758" s="675"/>
    </row>
    <row r="759">
      <c r="A759" s="675"/>
      <c r="B759" s="677"/>
      <c r="C759" s="807"/>
      <c r="D759" s="808"/>
      <c r="E759" s="693"/>
      <c r="F759" s="809"/>
      <c r="G759" s="809"/>
      <c r="H759" s="809"/>
      <c r="I759" s="809"/>
      <c r="J759" s="809"/>
      <c r="K759" s="809"/>
      <c r="L759" s="809"/>
      <c r="M759" s="809"/>
      <c r="N759" s="809"/>
      <c r="O759" s="809"/>
      <c r="P759" s="809"/>
      <c r="Q759" s="809"/>
      <c r="R759" s="675"/>
      <c r="S759" s="675"/>
      <c r="T759" s="675"/>
      <c r="U759" s="678"/>
      <c r="V759" s="679"/>
      <c r="W759" s="675"/>
      <c r="X759" s="675"/>
      <c r="Y759" s="675"/>
      <c r="Z759" s="675"/>
    </row>
    <row r="760">
      <c r="A760" s="675"/>
      <c r="B760" s="677"/>
      <c r="C760" s="807"/>
      <c r="D760" s="808"/>
      <c r="E760" s="693"/>
      <c r="F760" s="809"/>
      <c r="G760" s="809"/>
      <c r="H760" s="809"/>
      <c r="I760" s="809"/>
      <c r="J760" s="809"/>
      <c r="K760" s="809"/>
      <c r="L760" s="809"/>
      <c r="M760" s="809"/>
      <c r="N760" s="809"/>
      <c r="O760" s="809"/>
      <c r="P760" s="809"/>
      <c r="Q760" s="809"/>
      <c r="R760" s="675"/>
      <c r="S760" s="675"/>
      <c r="T760" s="675"/>
      <c r="U760" s="678"/>
      <c r="V760" s="679"/>
      <c r="W760" s="675"/>
      <c r="X760" s="675"/>
      <c r="Y760" s="675"/>
      <c r="Z760" s="675"/>
    </row>
    <row r="761">
      <c r="A761" s="675"/>
      <c r="B761" s="677"/>
      <c r="C761" s="807"/>
      <c r="D761" s="808"/>
      <c r="E761" s="693"/>
      <c r="F761" s="809"/>
      <c r="G761" s="809"/>
      <c r="H761" s="809"/>
      <c r="I761" s="809"/>
      <c r="J761" s="809"/>
      <c r="K761" s="809"/>
      <c r="L761" s="809"/>
      <c r="M761" s="809"/>
      <c r="N761" s="809"/>
      <c r="O761" s="809"/>
      <c r="P761" s="809"/>
      <c r="Q761" s="809"/>
      <c r="R761" s="675"/>
      <c r="S761" s="675"/>
      <c r="T761" s="675"/>
      <c r="U761" s="678"/>
      <c r="V761" s="679"/>
      <c r="W761" s="675"/>
      <c r="X761" s="675"/>
      <c r="Y761" s="675"/>
      <c r="Z761" s="675"/>
    </row>
    <row r="762">
      <c r="A762" s="675"/>
      <c r="B762" s="677"/>
      <c r="C762" s="807"/>
      <c r="D762" s="808"/>
      <c r="E762" s="693"/>
      <c r="F762" s="809"/>
      <c r="G762" s="809"/>
      <c r="H762" s="809"/>
      <c r="I762" s="809"/>
      <c r="J762" s="809"/>
      <c r="K762" s="809"/>
      <c r="L762" s="809"/>
      <c r="M762" s="809"/>
      <c r="N762" s="809"/>
      <c r="O762" s="809"/>
      <c r="P762" s="809"/>
      <c r="Q762" s="809"/>
      <c r="R762" s="675"/>
      <c r="S762" s="675"/>
      <c r="T762" s="675"/>
      <c r="U762" s="678"/>
      <c r="V762" s="679"/>
      <c r="W762" s="675"/>
      <c r="X762" s="675"/>
      <c r="Y762" s="675"/>
      <c r="Z762" s="675"/>
    </row>
    <row r="763">
      <c r="A763" s="675"/>
      <c r="B763" s="677"/>
      <c r="C763" s="807"/>
      <c r="D763" s="808"/>
      <c r="E763" s="693"/>
      <c r="F763" s="809"/>
      <c r="G763" s="809"/>
      <c r="H763" s="809"/>
      <c r="I763" s="809"/>
      <c r="J763" s="809"/>
      <c r="K763" s="809"/>
      <c r="L763" s="809"/>
      <c r="M763" s="809"/>
      <c r="N763" s="809"/>
      <c r="O763" s="809"/>
      <c r="P763" s="809"/>
      <c r="Q763" s="809"/>
      <c r="R763" s="675"/>
      <c r="S763" s="675"/>
      <c r="T763" s="675"/>
      <c r="U763" s="678"/>
      <c r="V763" s="679"/>
      <c r="W763" s="675"/>
      <c r="X763" s="675"/>
      <c r="Y763" s="675"/>
      <c r="Z763" s="675"/>
    </row>
    <row r="764">
      <c r="A764" s="675"/>
      <c r="B764" s="677"/>
      <c r="C764" s="807"/>
      <c r="D764" s="808"/>
      <c r="E764" s="693"/>
      <c r="F764" s="809"/>
      <c r="G764" s="809"/>
      <c r="H764" s="809"/>
      <c r="I764" s="809"/>
      <c r="J764" s="809"/>
      <c r="K764" s="809"/>
      <c r="L764" s="809"/>
      <c r="M764" s="809"/>
      <c r="N764" s="809"/>
      <c r="O764" s="809"/>
      <c r="P764" s="809"/>
      <c r="Q764" s="809"/>
      <c r="R764" s="675"/>
      <c r="S764" s="675"/>
      <c r="T764" s="675"/>
      <c r="U764" s="678"/>
      <c r="V764" s="679"/>
      <c r="W764" s="675"/>
      <c r="X764" s="675"/>
      <c r="Y764" s="675"/>
      <c r="Z764" s="675"/>
    </row>
    <row r="765">
      <c r="A765" s="675"/>
      <c r="B765" s="677"/>
      <c r="C765" s="807"/>
      <c r="D765" s="808"/>
      <c r="E765" s="693"/>
      <c r="F765" s="809"/>
      <c r="G765" s="809"/>
      <c r="H765" s="809"/>
      <c r="I765" s="809"/>
      <c r="J765" s="809"/>
      <c r="K765" s="809"/>
      <c r="L765" s="809"/>
      <c r="M765" s="809"/>
      <c r="N765" s="809"/>
      <c r="O765" s="809"/>
      <c r="P765" s="809"/>
      <c r="Q765" s="809"/>
      <c r="R765" s="675"/>
      <c r="S765" s="675"/>
      <c r="T765" s="675"/>
      <c r="U765" s="678"/>
      <c r="V765" s="679"/>
      <c r="W765" s="675"/>
      <c r="X765" s="675"/>
      <c r="Y765" s="675"/>
      <c r="Z765" s="675"/>
    </row>
    <row r="766">
      <c r="A766" s="675"/>
      <c r="B766" s="677"/>
      <c r="C766" s="807"/>
      <c r="D766" s="808"/>
      <c r="E766" s="693"/>
      <c r="F766" s="809"/>
      <c r="G766" s="809"/>
      <c r="H766" s="809"/>
      <c r="I766" s="809"/>
      <c r="J766" s="809"/>
      <c r="K766" s="809"/>
      <c r="L766" s="809"/>
      <c r="M766" s="809"/>
      <c r="N766" s="809"/>
      <c r="O766" s="809"/>
      <c r="P766" s="809"/>
      <c r="Q766" s="809"/>
      <c r="R766" s="675"/>
      <c r="S766" s="675"/>
      <c r="T766" s="675"/>
      <c r="U766" s="678"/>
      <c r="V766" s="679"/>
      <c r="W766" s="675"/>
      <c r="X766" s="675"/>
      <c r="Y766" s="675"/>
      <c r="Z766" s="675"/>
    </row>
    <row r="767">
      <c r="A767" s="675"/>
      <c r="B767" s="677"/>
      <c r="C767" s="807"/>
      <c r="D767" s="808"/>
      <c r="E767" s="693"/>
      <c r="F767" s="809"/>
      <c r="G767" s="809"/>
      <c r="H767" s="809"/>
      <c r="I767" s="809"/>
      <c r="J767" s="809"/>
      <c r="K767" s="809"/>
      <c r="L767" s="809"/>
      <c r="M767" s="809"/>
      <c r="N767" s="809"/>
      <c r="O767" s="809"/>
      <c r="P767" s="809"/>
      <c r="Q767" s="809"/>
      <c r="R767" s="675"/>
      <c r="S767" s="675"/>
      <c r="T767" s="675"/>
      <c r="U767" s="678"/>
      <c r="V767" s="679"/>
      <c r="W767" s="675"/>
      <c r="X767" s="675"/>
      <c r="Y767" s="675"/>
      <c r="Z767" s="675"/>
    </row>
    <row r="768">
      <c r="A768" s="675"/>
      <c r="B768" s="677"/>
      <c r="C768" s="807"/>
      <c r="D768" s="808"/>
      <c r="E768" s="693"/>
      <c r="F768" s="809"/>
      <c r="G768" s="809"/>
      <c r="H768" s="809"/>
      <c r="I768" s="809"/>
      <c r="J768" s="809"/>
      <c r="K768" s="809"/>
      <c r="L768" s="809"/>
      <c r="M768" s="809"/>
      <c r="N768" s="809"/>
      <c r="O768" s="809"/>
      <c r="P768" s="809"/>
      <c r="Q768" s="809"/>
      <c r="R768" s="675"/>
      <c r="S768" s="675"/>
      <c r="T768" s="675"/>
      <c r="U768" s="678"/>
      <c r="V768" s="679"/>
      <c r="W768" s="675"/>
      <c r="X768" s="675"/>
      <c r="Y768" s="675"/>
      <c r="Z768" s="675"/>
    </row>
    <row r="769">
      <c r="A769" s="675"/>
      <c r="B769" s="677"/>
      <c r="C769" s="807"/>
      <c r="D769" s="808"/>
      <c r="E769" s="693"/>
      <c r="F769" s="809"/>
      <c r="G769" s="809"/>
      <c r="H769" s="809"/>
      <c r="I769" s="809"/>
      <c r="J769" s="809"/>
      <c r="K769" s="809"/>
      <c r="L769" s="809"/>
      <c r="M769" s="809"/>
      <c r="N769" s="809"/>
      <c r="O769" s="809"/>
      <c r="P769" s="809"/>
      <c r="Q769" s="809"/>
      <c r="R769" s="675"/>
      <c r="S769" s="675"/>
      <c r="T769" s="675"/>
      <c r="U769" s="678"/>
      <c r="V769" s="679"/>
      <c r="W769" s="675"/>
      <c r="X769" s="675"/>
      <c r="Y769" s="675"/>
      <c r="Z769" s="675"/>
    </row>
    <row r="770">
      <c r="A770" s="675"/>
      <c r="B770" s="677"/>
      <c r="C770" s="807"/>
      <c r="D770" s="808"/>
      <c r="E770" s="693"/>
      <c r="F770" s="809"/>
      <c r="G770" s="809"/>
      <c r="H770" s="809"/>
      <c r="I770" s="809"/>
      <c r="J770" s="809"/>
      <c r="K770" s="809"/>
      <c r="L770" s="809"/>
      <c r="M770" s="809"/>
      <c r="N770" s="809"/>
      <c r="O770" s="809"/>
      <c r="P770" s="809"/>
      <c r="Q770" s="809"/>
      <c r="R770" s="675"/>
      <c r="S770" s="675"/>
      <c r="T770" s="675"/>
      <c r="U770" s="678"/>
      <c r="V770" s="679"/>
      <c r="W770" s="675"/>
      <c r="X770" s="675"/>
      <c r="Y770" s="675"/>
      <c r="Z770" s="675"/>
    </row>
    <row r="771">
      <c r="A771" s="675"/>
      <c r="B771" s="677"/>
      <c r="C771" s="807"/>
      <c r="D771" s="808"/>
      <c r="E771" s="693"/>
      <c r="F771" s="809"/>
      <c r="G771" s="809"/>
      <c r="H771" s="809"/>
      <c r="I771" s="809"/>
      <c r="J771" s="809"/>
      <c r="K771" s="809"/>
      <c r="L771" s="809"/>
      <c r="M771" s="809"/>
      <c r="N771" s="809"/>
      <c r="O771" s="809"/>
      <c r="P771" s="809"/>
      <c r="Q771" s="809"/>
      <c r="R771" s="675"/>
      <c r="S771" s="675"/>
      <c r="T771" s="675"/>
      <c r="U771" s="678"/>
      <c r="V771" s="679"/>
      <c r="W771" s="675"/>
      <c r="X771" s="675"/>
      <c r="Y771" s="675"/>
      <c r="Z771" s="675"/>
    </row>
    <row r="772">
      <c r="A772" s="675"/>
      <c r="B772" s="677"/>
      <c r="C772" s="807"/>
      <c r="D772" s="808"/>
      <c r="E772" s="693"/>
      <c r="F772" s="809"/>
      <c r="G772" s="809"/>
      <c r="H772" s="809"/>
      <c r="I772" s="809"/>
      <c r="J772" s="809"/>
      <c r="K772" s="809"/>
      <c r="L772" s="809"/>
      <c r="M772" s="809"/>
      <c r="N772" s="809"/>
      <c r="O772" s="809"/>
      <c r="P772" s="809"/>
      <c r="Q772" s="809"/>
      <c r="R772" s="675"/>
      <c r="S772" s="675"/>
      <c r="T772" s="675"/>
      <c r="U772" s="678"/>
      <c r="V772" s="679"/>
      <c r="W772" s="675"/>
      <c r="X772" s="675"/>
      <c r="Y772" s="675"/>
      <c r="Z772" s="675"/>
    </row>
    <row r="773">
      <c r="A773" s="675"/>
      <c r="B773" s="677"/>
      <c r="C773" s="807"/>
      <c r="D773" s="808"/>
      <c r="E773" s="693"/>
      <c r="F773" s="809"/>
      <c r="G773" s="809"/>
      <c r="H773" s="809"/>
      <c r="I773" s="809"/>
      <c r="J773" s="809"/>
      <c r="K773" s="809"/>
      <c r="L773" s="809"/>
      <c r="M773" s="809"/>
      <c r="N773" s="809"/>
      <c r="O773" s="809"/>
      <c r="P773" s="809"/>
      <c r="Q773" s="809"/>
      <c r="R773" s="675"/>
      <c r="S773" s="675"/>
      <c r="T773" s="675"/>
      <c r="U773" s="678"/>
      <c r="V773" s="679"/>
      <c r="W773" s="675"/>
      <c r="X773" s="675"/>
      <c r="Y773" s="675"/>
      <c r="Z773" s="675"/>
    </row>
    <row r="774">
      <c r="A774" s="675"/>
      <c r="B774" s="677"/>
      <c r="C774" s="807"/>
      <c r="D774" s="808"/>
      <c r="E774" s="693"/>
      <c r="F774" s="809"/>
      <c r="G774" s="809"/>
      <c r="H774" s="809"/>
      <c r="I774" s="809"/>
      <c r="J774" s="809"/>
      <c r="K774" s="809"/>
      <c r="L774" s="809"/>
      <c r="M774" s="809"/>
      <c r="N774" s="809"/>
      <c r="O774" s="809"/>
      <c r="P774" s="809"/>
      <c r="Q774" s="809"/>
      <c r="R774" s="675"/>
      <c r="S774" s="675"/>
      <c r="T774" s="675"/>
      <c r="U774" s="678"/>
      <c r="V774" s="679"/>
      <c r="W774" s="675"/>
      <c r="X774" s="675"/>
      <c r="Y774" s="675"/>
      <c r="Z774" s="675"/>
    </row>
    <row r="775">
      <c r="A775" s="675"/>
      <c r="B775" s="677"/>
      <c r="C775" s="807"/>
      <c r="D775" s="808"/>
      <c r="E775" s="693"/>
      <c r="F775" s="809"/>
      <c r="G775" s="809"/>
      <c r="H775" s="809"/>
      <c r="I775" s="809"/>
      <c r="J775" s="809"/>
      <c r="K775" s="809"/>
      <c r="L775" s="809"/>
      <c r="M775" s="809"/>
      <c r="N775" s="809"/>
      <c r="O775" s="809"/>
      <c r="P775" s="809"/>
      <c r="Q775" s="809"/>
      <c r="R775" s="675"/>
      <c r="S775" s="675"/>
      <c r="T775" s="675"/>
      <c r="U775" s="678"/>
      <c r="V775" s="679"/>
      <c r="W775" s="675"/>
      <c r="X775" s="675"/>
      <c r="Y775" s="675"/>
      <c r="Z775" s="675"/>
    </row>
    <row r="776">
      <c r="A776" s="675"/>
      <c r="B776" s="677"/>
      <c r="C776" s="807"/>
      <c r="D776" s="808"/>
      <c r="E776" s="693"/>
      <c r="F776" s="809"/>
      <c r="G776" s="809"/>
      <c r="H776" s="809"/>
      <c r="I776" s="809"/>
      <c r="J776" s="809"/>
      <c r="K776" s="809"/>
      <c r="L776" s="809"/>
      <c r="M776" s="809"/>
      <c r="N776" s="809"/>
      <c r="O776" s="809"/>
      <c r="P776" s="809"/>
      <c r="Q776" s="809"/>
      <c r="R776" s="675"/>
      <c r="S776" s="675"/>
      <c r="T776" s="675"/>
      <c r="U776" s="678"/>
      <c r="V776" s="679"/>
      <c r="W776" s="675"/>
      <c r="X776" s="675"/>
      <c r="Y776" s="675"/>
      <c r="Z776" s="675"/>
    </row>
    <row r="777">
      <c r="A777" s="675"/>
      <c r="B777" s="677"/>
      <c r="C777" s="807"/>
      <c r="D777" s="808"/>
      <c r="E777" s="693"/>
      <c r="F777" s="809"/>
      <c r="G777" s="809"/>
      <c r="H777" s="809"/>
      <c r="I777" s="809"/>
      <c r="J777" s="809"/>
      <c r="K777" s="809"/>
      <c r="L777" s="809"/>
      <c r="M777" s="809"/>
      <c r="N777" s="809"/>
      <c r="O777" s="809"/>
      <c r="P777" s="809"/>
      <c r="Q777" s="809"/>
      <c r="R777" s="675"/>
      <c r="S777" s="675"/>
      <c r="T777" s="675"/>
      <c r="U777" s="678"/>
      <c r="V777" s="679"/>
      <c r="W777" s="675"/>
      <c r="X777" s="675"/>
      <c r="Y777" s="675"/>
      <c r="Z777" s="675"/>
    </row>
    <row r="778">
      <c r="A778" s="675"/>
      <c r="B778" s="677"/>
      <c r="C778" s="807"/>
      <c r="D778" s="808"/>
      <c r="E778" s="693"/>
      <c r="F778" s="809"/>
      <c r="G778" s="809"/>
      <c r="H778" s="809"/>
      <c r="I778" s="809"/>
      <c r="J778" s="809"/>
      <c r="K778" s="809"/>
      <c r="L778" s="809"/>
      <c r="M778" s="809"/>
      <c r="N778" s="809"/>
      <c r="O778" s="809"/>
      <c r="P778" s="809"/>
      <c r="Q778" s="809"/>
      <c r="R778" s="675"/>
      <c r="S778" s="675"/>
      <c r="T778" s="675"/>
      <c r="U778" s="678"/>
      <c r="V778" s="679"/>
      <c r="W778" s="675"/>
      <c r="X778" s="675"/>
      <c r="Y778" s="675"/>
      <c r="Z778" s="675"/>
    </row>
    <row r="779">
      <c r="A779" s="675"/>
      <c r="B779" s="677"/>
      <c r="C779" s="807"/>
      <c r="D779" s="808"/>
      <c r="E779" s="693"/>
      <c r="F779" s="809"/>
      <c r="G779" s="809"/>
      <c r="H779" s="809"/>
      <c r="I779" s="809"/>
      <c r="J779" s="809"/>
      <c r="K779" s="809"/>
      <c r="L779" s="809"/>
      <c r="M779" s="809"/>
      <c r="N779" s="809"/>
      <c r="O779" s="809"/>
      <c r="P779" s="809"/>
      <c r="Q779" s="809"/>
      <c r="R779" s="675"/>
      <c r="S779" s="675"/>
      <c r="T779" s="675"/>
      <c r="U779" s="678"/>
      <c r="V779" s="679"/>
      <c r="W779" s="675"/>
      <c r="X779" s="675"/>
      <c r="Y779" s="675"/>
      <c r="Z779" s="675"/>
    </row>
    <row r="780">
      <c r="A780" s="675"/>
      <c r="B780" s="677"/>
      <c r="C780" s="807"/>
      <c r="D780" s="808"/>
      <c r="E780" s="693"/>
      <c r="F780" s="809"/>
      <c r="G780" s="809"/>
      <c r="H780" s="809"/>
      <c r="I780" s="809"/>
      <c r="J780" s="809"/>
      <c r="K780" s="809"/>
      <c r="L780" s="809"/>
      <c r="M780" s="809"/>
      <c r="N780" s="809"/>
      <c r="O780" s="809"/>
      <c r="P780" s="809"/>
      <c r="Q780" s="809"/>
      <c r="R780" s="675"/>
      <c r="S780" s="675"/>
      <c r="T780" s="675"/>
      <c r="U780" s="678"/>
      <c r="V780" s="679"/>
      <c r="W780" s="675"/>
      <c r="X780" s="675"/>
      <c r="Y780" s="675"/>
      <c r="Z780" s="675"/>
    </row>
    <row r="781">
      <c r="A781" s="675"/>
      <c r="B781" s="677"/>
      <c r="C781" s="807"/>
      <c r="D781" s="808"/>
      <c r="E781" s="693"/>
      <c r="F781" s="809"/>
      <c r="G781" s="809"/>
      <c r="H781" s="809"/>
      <c r="I781" s="809"/>
      <c r="J781" s="809"/>
      <c r="K781" s="809"/>
      <c r="L781" s="809"/>
      <c r="M781" s="809"/>
      <c r="N781" s="809"/>
      <c r="O781" s="809"/>
      <c r="P781" s="809"/>
      <c r="Q781" s="809"/>
      <c r="R781" s="675"/>
      <c r="S781" s="675"/>
      <c r="T781" s="675"/>
      <c r="U781" s="678"/>
      <c r="V781" s="679"/>
      <c r="W781" s="675"/>
      <c r="X781" s="675"/>
      <c r="Y781" s="675"/>
      <c r="Z781" s="675"/>
    </row>
    <row r="782">
      <c r="A782" s="675"/>
      <c r="B782" s="677"/>
      <c r="C782" s="807"/>
      <c r="D782" s="808"/>
      <c r="E782" s="693"/>
      <c r="F782" s="809"/>
      <c r="G782" s="809"/>
      <c r="H782" s="809"/>
      <c r="I782" s="809"/>
      <c r="J782" s="809"/>
      <c r="K782" s="809"/>
      <c r="L782" s="809"/>
      <c r="M782" s="809"/>
      <c r="N782" s="809"/>
      <c r="O782" s="809"/>
      <c r="P782" s="809"/>
      <c r="Q782" s="809"/>
      <c r="R782" s="675"/>
      <c r="S782" s="675"/>
      <c r="T782" s="675"/>
      <c r="U782" s="678"/>
      <c r="V782" s="679"/>
      <c r="W782" s="675"/>
      <c r="X782" s="675"/>
      <c r="Y782" s="675"/>
      <c r="Z782" s="675"/>
    </row>
    <row r="783">
      <c r="A783" s="675"/>
      <c r="B783" s="677"/>
      <c r="C783" s="807"/>
      <c r="D783" s="808"/>
      <c r="E783" s="693"/>
      <c r="F783" s="809"/>
      <c r="G783" s="809"/>
      <c r="H783" s="809"/>
      <c r="I783" s="809"/>
      <c r="J783" s="809"/>
      <c r="K783" s="809"/>
      <c r="L783" s="809"/>
      <c r="M783" s="809"/>
      <c r="N783" s="809"/>
      <c r="O783" s="809"/>
      <c r="P783" s="809"/>
      <c r="Q783" s="809"/>
      <c r="R783" s="675"/>
      <c r="S783" s="675"/>
      <c r="T783" s="675"/>
      <c r="U783" s="678"/>
      <c r="V783" s="679"/>
      <c r="W783" s="675"/>
      <c r="X783" s="675"/>
      <c r="Y783" s="675"/>
      <c r="Z783" s="675"/>
    </row>
    <row r="784">
      <c r="A784" s="675"/>
      <c r="B784" s="677"/>
      <c r="C784" s="807"/>
      <c r="D784" s="808"/>
      <c r="E784" s="693"/>
      <c r="F784" s="809"/>
      <c r="G784" s="809"/>
      <c r="H784" s="809"/>
      <c r="I784" s="809"/>
      <c r="J784" s="809"/>
      <c r="K784" s="809"/>
      <c r="L784" s="809"/>
      <c r="M784" s="809"/>
      <c r="N784" s="809"/>
      <c r="O784" s="809"/>
      <c r="P784" s="809"/>
      <c r="Q784" s="809"/>
      <c r="R784" s="675"/>
      <c r="S784" s="675"/>
      <c r="T784" s="675"/>
      <c r="U784" s="678"/>
      <c r="V784" s="679"/>
      <c r="W784" s="675"/>
      <c r="X784" s="675"/>
      <c r="Y784" s="675"/>
      <c r="Z784" s="675"/>
    </row>
    <row r="785">
      <c r="A785" s="675"/>
      <c r="B785" s="677"/>
      <c r="C785" s="807"/>
      <c r="D785" s="808"/>
      <c r="E785" s="693"/>
      <c r="F785" s="809"/>
      <c r="G785" s="809"/>
      <c r="H785" s="809"/>
      <c r="I785" s="809"/>
      <c r="J785" s="809"/>
      <c r="K785" s="809"/>
      <c r="L785" s="809"/>
      <c r="M785" s="809"/>
      <c r="N785" s="809"/>
      <c r="O785" s="809"/>
      <c r="P785" s="809"/>
      <c r="Q785" s="809"/>
      <c r="R785" s="675"/>
      <c r="S785" s="675"/>
      <c r="T785" s="675"/>
      <c r="U785" s="678"/>
      <c r="V785" s="679"/>
      <c r="W785" s="675"/>
      <c r="X785" s="675"/>
      <c r="Y785" s="675"/>
      <c r="Z785" s="675"/>
    </row>
    <row r="786">
      <c r="A786" s="675"/>
      <c r="B786" s="677"/>
      <c r="C786" s="807"/>
      <c r="D786" s="808"/>
      <c r="E786" s="693"/>
      <c r="F786" s="809"/>
      <c r="G786" s="809"/>
      <c r="H786" s="809"/>
      <c r="I786" s="809"/>
      <c r="J786" s="809"/>
      <c r="K786" s="809"/>
      <c r="L786" s="809"/>
      <c r="M786" s="809"/>
      <c r="N786" s="809"/>
      <c r="O786" s="809"/>
      <c r="P786" s="809"/>
      <c r="Q786" s="809"/>
      <c r="R786" s="675"/>
      <c r="S786" s="675"/>
      <c r="T786" s="675"/>
      <c r="U786" s="678"/>
      <c r="V786" s="679"/>
      <c r="W786" s="675"/>
      <c r="X786" s="675"/>
      <c r="Y786" s="675"/>
      <c r="Z786" s="675"/>
    </row>
    <row r="787">
      <c r="A787" s="675"/>
      <c r="B787" s="677"/>
      <c r="C787" s="807"/>
      <c r="D787" s="808"/>
      <c r="E787" s="693"/>
      <c r="F787" s="809"/>
      <c r="G787" s="809"/>
      <c r="H787" s="809"/>
      <c r="I787" s="809"/>
      <c r="J787" s="809"/>
      <c r="K787" s="809"/>
      <c r="L787" s="809"/>
      <c r="M787" s="809"/>
      <c r="N787" s="809"/>
      <c r="O787" s="809"/>
      <c r="P787" s="809"/>
      <c r="Q787" s="809"/>
      <c r="R787" s="675"/>
      <c r="S787" s="675"/>
      <c r="T787" s="675"/>
      <c r="U787" s="678"/>
      <c r="V787" s="679"/>
      <c r="W787" s="675"/>
      <c r="X787" s="675"/>
      <c r="Y787" s="675"/>
      <c r="Z787" s="675"/>
    </row>
    <row r="788">
      <c r="A788" s="675"/>
      <c r="B788" s="677"/>
      <c r="C788" s="807"/>
      <c r="D788" s="808"/>
      <c r="E788" s="693"/>
      <c r="F788" s="809"/>
      <c r="G788" s="809"/>
      <c r="H788" s="809"/>
      <c r="I788" s="809"/>
      <c r="J788" s="809"/>
      <c r="K788" s="809"/>
      <c r="L788" s="809"/>
      <c r="M788" s="809"/>
      <c r="N788" s="809"/>
      <c r="O788" s="809"/>
      <c r="P788" s="809"/>
      <c r="Q788" s="809"/>
      <c r="R788" s="675"/>
      <c r="S788" s="675"/>
      <c r="T788" s="675"/>
      <c r="U788" s="678"/>
      <c r="V788" s="679"/>
      <c r="W788" s="675"/>
      <c r="X788" s="675"/>
      <c r="Y788" s="675"/>
      <c r="Z788" s="675"/>
    </row>
    <row r="789">
      <c r="A789" s="675"/>
      <c r="B789" s="677"/>
      <c r="C789" s="807"/>
      <c r="D789" s="808"/>
      <c r="E789" s="693"/>
      <c r="F789" s="809"/>
      <c r="G789" s="809"/>
      <c r="H789" s="809"/>
      <c r="I789" s="809"/>
      <c r="J789" s="809"/>
      <c r="K789" s="809"/>
      <c r="L789" s="809"/>
      <c r="M789" s="809"/>
      <c r="N789" s="809"/>
      <c r="O789" s="809"/>
      <c r="P789" s="809"/>
      <c r="Q789" s="809"/>
      <c r="R789" s="675"/>
      <c r="S789" s="675"/>
      <c r="T789" s="675"/>
      <c r="U789" s="678"/>
      <c r="V789" s="679"/>
      <c r="W789" s="675"/>
      <c r="X789" s="675"/>
      <c r="Y789" s="675"/>
      <c r="Z789" s="675"/>
    </row>
    <row r="790">
      <c r="A790" s="675"/>
      <c r="B790" s="677"/>
      <c r="C790" s="807"/>
      <c r="D790" s="808"/>
      <c r="E790" s="693"/>
      <c r="F790" s="809"/>
      <c r="G790" s="809"/>
      <c r="H790" s="809"/>
      <c r="I790" s="809"/>
      <c r="J790" s="809"/>
      <c r="K790" s="809"/>
      <c r="L790" s="809"/>
      <c r="M790" s="809"/>
      <c r="N790" s="809"/>
      <c r="O790" s="809"/>
      <c r="P790" s="809"/>
      <c r="Q790" s="809"/>
      <c r="R790" s="675"/>
      <c r="S790" s="675"/>
      <c r="T790" s="675"/>
      <c r="U790" s="678"/>
      <c r="V790" s="679"/>
      <c r="W790" s="675"/>
      <c r="X790" s="675"/>
      <c r="Y790" s="675"/>
      <c r="Z790" s="675"/>
    </row>
    <row r="791">
      <c r="A791" s="675"/>
      <c r="B791" s="677"/>
      <c r="C791" s="807"/>
      <c r="D791" s="808"/>
      <c r="E791" s="693"/>
      <c r="F791" s="809"/>
      <c r="G791" s="809"/>
      <c r="H791" s="809"/>
      <c r="I791" s="809"/>
      <c r="J791" s="809"/>
      <c r="K791" s="809"/>
      <c r="L791" s="809"/>
      <c r="M791" s="809"/>
      <c r="N791" s="809"/>
      <c r="O791" s="809"/>
      <c r="P791" s="809"/>
      <c r="Q791" s="809"/>
      <c r="R791" s="675"/>
      <c r="S791" s="675"/>
      <c r="T791" s="675"/>
      <c r="U791" s="678"/>
      <c r="V791" s="679"/>
      <c r="W791" s="675"/>
      <c r="X791" s="675"/>
      <c r="Y791" s="675"/>
      <c r="Z791" s="675"/>
    </row>
    <row r="792">
      <c r="A792" s="675"/>
      <c r="B792" s="677"/>
      <c r="C792" s="807"/>
      <c r="D792" s="808"/>
      <c r="E792" s="693"/>
      <c r="F792" s="809"/>
      <c r="G792" s="809"/>
      <c r="H792" s="809"/>
      <c r="I792" s="809"/>
      <c r="J792" s="809"/>
      <c r="K792" s="809"/>
      <c r="L792" s="809"/>
      <c r="M792" s="809"/>
      <c r="N792" s="809"/>
      <c r="O792" s="809"/>
      <c r="P792" s="809"/>
      <c r="Q792" s="809"/>
      <c r="R792" s="675"/>
      <c r="S792" s="675"/>
      <c r="T792" s="675"/>
      <c r="U792" s="678"/>
      <c r="V792" s="679"/>
      <c r="W792" s="675"/>
      <c r="X792" s="675"/>
      <c r="Y792" s="675"/>
      <c r="Z792" s="675"/>
    </row>
    <row r="793">
      <c r="A793" s="675"/>
      <c r="B793" s="677"/>
      <c r="C793" s="807"/>
      <c r="D793" s="808"/>
      <c r="E793" s="693"/>
      <c r="F793" s="809"/>
      <c r="G793" s="809"/>
      <c r="H793" s="809"/>
      <c r="I793" s="809"/>
      <c r="J793" s="809"/>
      <c r="K793" s="809"/>
      <c r="L793" s="809"/>
      <c r="M793" s="809"/>
      <c r="N793" s="809"/>
      <c r="O793" s="809"/>
      <c r="P793" s="809"/>
      <c r="Q793" s="809"/>
      <c r="R793" s="675"/>
      <c r="S793" s="675"/>
      <c r="T793" s="675"/>
      <c r="U793" s="678"/>
      <c r="V793" s="679"/>
      <c r="W793" s="675"/>
      <c r="X793" s="675"/>
      <c r="Y793" s="675"/>
      <c r="Z793" s="675"/>
    </row>
    <row r="794">
      <c r="A794" s="675"/>
      <c r="B794" s="677"/>
      <c r="C794" s="807"/>
      <c r="D794" s="808"/>
      <c r="E794" s="693"/>
      <c r="F794" s="809"/>
      <c r="G794" s="809"/>
      <c r="H794" s="809"/>
      <c r="I794" s="809"/>
      <c r="J794" s="809"/>
      <c r="K794" s="809"/>
      <c r="L794" s="809"/>
      <c r="M794" s="809"/>
      <c r="N794" s="809"/>
      <c r="O794" s="809"/>
      <c r="P794" s="809"/>
      <c r="Q794" s="809"/>
      <c r="R794" s="675"/>
      <c r="S794" s="675"/>
      <c r="T794" s="675"/>
      <c r="U794" s="678"/>
      <c r="V794" s="679"/>
      <c r="W794" s="675"/>
      <c r="X794" s="675"/>
      <c r="Y794" s="675"/>
      <c r="Z794" s="675"/>
    </row>
    <row r="795">
      <c r="A795" s="675"/>
      <c r="B795" s="677"/>
      <c r="C795" s="807"/>
      <c r="D795" s="808"/>
      <c r="E795" s="693"/>
      <c r="F795" s="809"/>
      <c r="G795" s="809"/>
      <c r="H795" s="809"/>
      <c r="I795" s="809"/>
      <c r="J795" s="809"/>
      <c r="K795" s="809"/>
      <c r="L795" s="809"/>
      <c r="M795" s="809"/>
      <c r="N795" s="809"/>
      <c r="O795" s="809"/>
      <c r="P795" s="809"/>
      <c r="Q795" s="809"/>
      <c r="R795" s="675"/>
      <c r="S795" s="675"/>
      <c r="T795" s="675"/>
      <c r="U795" s="678"/>
      <c r="V795" s="679"/>
      <c r="W795" s="675"/>
      <c r="X795" s="675"/>
      <c r="Y795" s="675"/>
      <c r="Z795" s="675"/>
    </row>
    <row r="796">
      <c r="A796" s="675"/>
      <c r="B796" s="677"/>
      <c r="C796" s="807"/>
      <c r="D796" s="808"/>
      <c r="E796" s="693"/>
      <c r="F796" s="809"/>
      <c r="G796" s="809"/>
      <c r="H796" s="809"/>
      <c r="I796" s="809"/>
      <c r="J796" s="809"/>
      <c r="K796" s="809"/>
      <c r="L796" s="809"/>
      <c r="M796" s="809"/>
      <c r="N796" s="809"/>
      <c r="O796" s="809"/>
      <c r="P796" s="809"/>
      <c r="Q796" s="809"/>
      <c r="R796" s="675"/>
      <c r="S796" s="675"/>
      <c r="T796" s="675"/>
      <c r="U796" s="678"/>
      <c r="V796" s="679"/>
      <c r="W796" s="675"/>
      <c r="X796" s="675"/>
      <c r="Y796" s="675"/>
      <c r="Z796" s="675"/>
    </row>
    <row r="797">
      <c r="A797" s="675"/>
      <c r="B797" s="677"/>
      <c r="C797" s="807"/>
      <c r="D797" s="808"/>
      <c r="E797" s="693"/>
      <c r="F797" s="809"/>
      <c r="G797" s="809"/>
      <c r="H797" s="809"/>
      <c r="I797" s="809"/>
      <c r="J797" s="809"/>
      <c r="K797" s="809"/>
      <c r="L797" s="809"/>
      <c r="M797" s="809"/>
      <c r="N797" s="809"/>
      <c r="O797" s="809"/>
      <c r="P797" s="809"/>
      <c r="Q797" s="809"/>
      <c r="R797" s="675"/>
      <c r="S797" s="675"/>
      <c r="T797" s="675"/>
      <c r="U797" s="678"/>
      <c r="V797" s="679"/>
      <c r="W797" s="675"/>
      <c r="X797" s="675"/>
      <c r="Y797" s="675"/>
      <c r="Z797" s="675"/>
    </row>
    <row r="798">
      <c r="A798" s="675"/>
      <c r="B798" s="677"/>
      <c r="C798" s="807"/>
      <c r="D798" s="808"/>
      <c r="E798" s="693"/>
      <c r="F798" s="809"/>
      <c r="G798" s="809"/>
      <c r="H798" s="809"/>
      <c r="I798" s="809"/>
      <c r="J798" s="809"/>
      <c r="K798" s="809"/>
      <c r="L798" s="809"/>
      <c r="M798" s="809"/>
      <c r="N798" s="809"/>
      <c r="O798" s="809"/>
      <c r="P798" s="809"/>
      <c r="Q798" s="809"/>
      <c r="R798" s="675"/>
      <c r="S798" s="675"/>
      <c r="T798" s="675"/>
      <c r="U798" s="678"/>
      <c r="V798" s="679"/>
      <c r="W798" s="675"/>
      <c r="X798" s="675"/>
      <c r="Y798" s="675"/>
      <c r="Z798" s="675"/>
    </row>
    <row r="799">
      <c r="A799" s="675"/>
      <c r="B799" s="677"/>
      <c r="C799" s="807"/>
      <c r="D799" s="808"/>
      <c r="E799" s="693"/>
      <c r="F799" s="809"/>
      <c r="G799" s="809"/>
      <c r="H799" s="809"/>
      <c r="I799" s="809"/>
      <c r="J799" s="809"/>
      <c r="K799" s="809"/>
      <c r="L799" s="809"/>
      <c r="M799" s="809"/>
      <c r="N799" s="809"/>
      <c r="O799" s="809"/>
      <c r="P799" s="809"/>
      <c r="Q799" s="809"/>
      <c r="R799" s="675"/>
      <c r="S799" s="675"/>
      <c r="T799" s="675"/>
      <c r="U799" s="678"/>
      <c r="V799" s="679"/>
      <c r="W799" s="675"/>
      <c r="X799" s="675"/>
      <c r="Y799" s="675"/>
      <c r="Z799" s="675"/>
    </row>
    <row r="800">
      <c r="A800" s="675"/>
      <c r="B800" s="677"/>
      <c r="C800" s="807"/>
      <c r="D800" s="808"/>
      <c r="E800" s="693"/>
      <c r="F800" s="809"/>
      <c r="G800" s="809"/>
      <c r="H800" s="809"/>
      <c r="I800" s="809"/>
      <c r="J800" s="809"/>
      <c r="K800" s="809"/>
      <c r="L800" s="809"/>
      <c r="M800" s="809"/>
      <c r="N800" s="809"/>
      <c r="O800" s="809"/>
      <c r="P800" s="809"/>
      <c r="Q800" s="809"/>
      <c r="R800" s="675"/>
      <c r="S800" s="675"/>
      <c r="T800" s="675"/>
      <c r="U800" s="678"/>
      <c r="V800" s="679"/>
      <c r="W800" s="675"/>
      <c r="X800" s="675"/>
      <c r="Y800" s="675"/>
      <c r="Z800" s="675"/>
    </row>
    <row r="801">
      <c r="A801" s="675"/>
      <c r="B801" s="677"/>
      <c r="C801" s="807"/>
      <c r="D801" s="808"/>
      <c r="E801" s="693"/>
      <c r="F801" s="809"/>
      <c r="G801" s="809"/>
      <c r="H801" s="809"/>
      <c r="I801" s="809"/>
      <c r="J801" s="809"/>
      <c r="K801" s="809"/>
      <c r="L801" s="809"/>
      <c r="M801" s="809"/>
      <c r="N801" s="809"/>
      <c r="O801" s="809"/>
      <c r="P801" s="809"/>
      <c r="Q801" s="809"/>
      <c r="R801" s="675"/>
      <c r="S801" s="675"/>
      <c r="T801" s="675"/>
      <c r="U801" s="678"/>
      <c r="V801" s="679"/>
      <c r="W801" s="675"/>
      <c r="X801" s="675"/>
      <c r="Y801" s="675"/>
      <c r="Z801" s="675"/>
    </row>
    <row r="802">
      <c r="A802" s="675"/>
      <c r="B802" s="677"/>
      <c r="C802" s="807"/>
      <c r="D802" s="808"/>
      <c r="E802" s="693"/>
      <c r="F802" s="809"/>
      <c r="G802" s="809"/>
      <c r="H802" s="809"/>
      <c r="I802" s="809"/>
      <c r="J802" s="809"/>
      <c r="K802" s="809"/>
      <c r="L802" s="809"/>
      <c r="M802" s="809"/>
      <c r="N802" s="809"/>
      <c r="O802" s="809"/>
      <c r="P802" s="809"/>
      <c r="Q802" s="809"/>
      <c r="R802" s="675"/>
      <c r="S802" s="675"/>
      <c r="T802" s="675"/>
      <c r="U802" s="678"/>
      <c r="V802" s="679"/>
      <c r="W802" s="675"/>
      <c r="X802" s="675"/>
      <c r="Y802" s="675"/>
      <c r="Z802" s="675"/>
    </row>
    <row r="803">
      <c r="A803" s="675"/>
      <c r="B803" s="677"/>
      <c r="C803" s="807"/>
      <c r="D803" s="808"/>
      <c r="E803" s="693"/>
      <c r="F803" s="809"/>
      <c r="G803" s="809"/>
      <c r="H803" s="809"/>
      <c r="I803" s="809"/>
      <c r="J803" s="809"/>
      <c r="K803" s="809"/>
      <c r="L803" s="809"/>
      <c r="M803" s="809"/>
      <c r="N803" s="809"/>
      <c r="O803" s="809"/>
      <c r="P803" s="809"/>
      <c r="Q803" s="809"/>
      <c r="R803" s="675"/>
      <c r="S803" s="675"/>
      <c r="T803" s="675"/>
      <c r="U803" s="678"/>
      <c r="V803" s="679"/>
      <c r="W803" s="675"/>
      <c r="X803" s="675"/>
      <c r="Y803" s="675"/>
      <c r="Z803" s="675"/>
    </row>
    <row r="804">
      <c r="A804" s="675"/>
      <c r="B804" s="677"/>
      <c r="C804" s="807"/>
      <c r="D804" s="808"/>
      <c r="E804" s="693"/>
      <c r="F804" s="809"/>
      <c r="G804" s="809"/>
      <c r="H804" s="809"/>
      <c r="I804" s="809"/>
      <c r="J804" s="809"/>
      <c r="K804" s="809"/>
      <c r="L804" s="809"/>
      <c r="M804" s="809"/>
      <c r="N804" s="809"/>
      <c r="O804" s="809"/>
      <c r="P804" s="809"/>
      <c r="Q804" s="809"/>
      <c r="R804" s="675"/>
      <c r="S804" s="675"/>
      <c r="T804" s="675"/>
      <c r="U804" s="678"/>
      <c r="V804" s="679"/>
      <c r="W804" s="675"/>
      <c r="X804" s="675"/>
      <c r="Y804" s="675"/>
      <c r="Z804" s="675"/>
    </row>
    <row r="805">
      <c r="A805" s="675"/>
      <c r="B805" s="677"/>
      <c r="C805" s="807"/>
      <c r="D805" s="808"/>
      <c r="E805" s="693"/>
      <c r="F805" s="809"/>
      <c r="G805" s="809"/>
      <c r="H805" s="809"/>
      <c r="I805" s="809"/>
      <c r="J805" s="809"/>
      <c r="K805" s="809"/>
      <c r="L805" s="809"/>
      <c r="M805" s="809"/>
      <c r="N805" s="809"/>
      <c r="O805" s="809"/>
      <c r="P805" s="809"/>
      <c r="Q805" s="809"/>
      <c r="R805" s="675"/>
      <c r="S805" s="675"/>
      <c r="T805" s="675"/>
      <c r="U805" s="678"/>
      <c r="V805" s="679"/>
      <c r="W805" s="675"/>
      <c r="X805" s="675"/>
      <c r="Y805" s="675"/>
      <c r="Z805" s="675"/>
    </row>
    <row r="806">
      <c r="A806" s="675"/>
      <c r="B806" s="677"/>
      <c r="C806" s="807"/>
      <c r="D806" s="808"/>
      <c r="E806" s="693"/>
      <c r="F806" s="809"/>
      <c r="G806" s="809"/>
      <c r="H806" s="809"/>
      <c r="I806" s="809"/>
      <c r="J806" s="809"/>
      <c r="K806" s="809"/>
      <c r="L806" s="809"/>
      <c r="M806" s="809"/>
      <c r="N806" s="809"/>
      <c r="O806" s="809"/>
      <c r="P806" s="809"/>
      <c r="Q806" s="809"/>
      <c r="R806" s="675"/>
      <c r="S806" s="675"/>
      <c r="T806" s="675"/>
      <c r="U806" s="678"/>
      <c r="V806" s="679"/>
      <c r="W806" s="675"/>
      <c r="X806" s="675"/>
      <c r="Y806" s="675"/>
      <c r="Z806" s="675"/>
    </row>
    <row r="807">
      <c r="A807" s="675"/>
      <c r="B807" s="677"/>
      <c r="C807" s="807"/>
      <c r="D807" s="808"/>
      <c r="E807" s="693"/>
      <c r="F807" s="809"/>
      <c r="G807" s="809"/>
      <c r="H807" s="809"/>
      <c r="I807" s="809"/>
      <c r="J807" s="809"/>
      <c r="K807" s="809"/>
      <c r="L807" s="809"/>
      <c r="M807" s="809"/>
      <c r="N807" s="809"/>
      <c r="O807" s="809"/>
      <c r="P807" s="809"/>
      <c r="Q807" s="809"/>
      <c r="R807" s="675"/>
      <c r="S807" s="675"/>
      <c r="T807" s="675"/>
      <c r="U807" s="678"/>
      <c r="V807" s="679"/>
      <c r="W807" s="675"/>
      <c r="X807" s="675"/>
      <c r="Y807" s="675"/>
      <c r="Z807" s="675"/>
    </row>
    <row r="808">
      <c r="A808" s="675"/>
      <c r="B808" s="677"/>
      <c r="C808" s="807"/>
      <c r="D808" s="808"/>
      <c r="E808" s="693"/>
      <c r="F808" s="809"/>
      <c r="G808" s="809"/>
      <c r="H808" s="809"/>
      <c r="I808" s="809"/>
      <c r="J808" s="809"/>
      <c r="K808" s="809"/>
      <c r="L808" s="809"/>
      <c r="M808" s="809"/>
      <c r="N808" s="809"/>
      <c r="O808" s="809"/>
      <c r="P808" s="809"/>
      <c r="Q808" s="809"/>
      <c r="R808" s="675"/>
      <c r="S808" s="675"/>
      <c r="T808" s="675"/>
      <c r="U808" s="678"/>
      <c r="V808" s="679"/>
      <c r="W808" s="675"/>
      <c r="X808" s="675"/>
      <c r="Y808" s="675"/>
      <c r="Z808" s="675"/>
    </row>
    <row r="809">
      <c r="A809" s="675"/>
      <c r="B809" s="677"/>
      <c r="C809" s="807"/>
      <c r="D809" s="808"/>
      <c r="E809" s="693"/>
      <c r="F809" s="809"/>
      <c r="G809" s="809"/>
      <c r="H809" s="809"/>
      <c r="I809" s="809"/>
      <c r="J809" s="809"/>
      <c r="K809" s="809"/>
      <c r="L809" s="809"/>
      <c r="M809" s="809"/>
      <c r="N809" s="809"/>
      <c r="O809" s="809"/>
      <c r="P809" s="809"/>
      <c r="Q809" s="809"/>
      <c r="R809" s="675"/>
      <c r="S809" s="675"/>
      <c r="T809" s="675"/>
      <c r="U809" s="678"/>
      <c r="V809" s="679"/>
      <c r="W809" s="675"/>
      <c r="X809" s="675"/>
      <c r="Y809" s="675"/>
      <c r="Z809" s="675"/>
    </row>
    <row r="810">
      <c r="A810" s="675"/>
      <c r="B810" s="677"/>
      <c r="C810" s="807"/>
      <c r="D810" s="808"/>
      <c r="E810" s="693"/>
      <c r="F810" s="809"/>
      <c r="G810" s="809"/>
      <c r="H810" s="809"/>
      <c r="I810" s="809"/>
      <c r="J810" s="809"/>
      <c r="K810" s="809"/>
      <c r="L810" s="809"/>
      <c r="M810" s="809"/>
      <c r="N810" s="809"/>
      <c r="O810" s="809"/>
      <c r="P810" s="809"/>
      <c r="Q810" s="809"/>
      <c r="R810" s="675"/>
      <c r="S810" s="675"/>
      <c r="T810" s="675"/>
      <c r="U810" s="678"/>
      <c r="V810" s="679"/>
      <c r="W810" s="675"/>
      <c r="X810" s="675"/>
      <c r="Y810" s="675"/>
      <c r="Z810" s="675"/>
    </row>
    <row r="811">
      <c r="A811" s="675"/>
      <c r="B811" s="677"/>
      <c r="C811" s="807"/>
      <c r="D811" s="808"/>
      <c r="E811" s="693"/>
      <c r="F811" s="809"/>
      <c r="G811" s="809"/>
      <c r="H811" s="809"/>
      <c r="I811" s="809"/>
      <c r="J811" s="809"/>
      <c r="K811" s="809"/>
      <c r="L811" s="809"/>
      <c r="M811" s="809"/>
      <c r="N811" s="809"/>
      <c r="O811" s="809"/>
      <c r="P811" s="809"/>
      <c r="Q811" s="809"/>
      <c r="R811" s="675"/>
      <c r="S811" s="675"/>
      <c r="T811" s="675"/>
      <c r="U811" s="678"/>
      <c r="V811" s="679"/>
      <c r="W811" s="675"/>
      <c r="X811" s="675"/>
      <c r="Y811" s="675"/>
      <c r="Z811" s="675"/>
    </row>
    <row r="812">
      <c r="A812" s="675"/>
      <c r="B812" s="677"/>
      <c r="C812" s="807"/>
      <c r="D812" s="808"/>
      <c r="E812" s="693"/>
      <c r="F812" s="809"/>
      <c r="G812" s="809"/>
      <c r="H812" s="809"/>
      <c r="I812" s="809"/>
      <c r="J812" s="809"/>
      <c r="K812" s="809"/>
      <c r="L812" s="809"/>
      <c r="M812" s="809"/>
      <c r="N812" s="809"/>
      <c r="O812" s="809"/>
      <c r="P812" s="809"/>
      <c r="Q812" s="809"/>
      <c r="R812" s="675"/>
      <c r="S812" s="675"/>
      <c r="T812" s="675"/>
      <c r="U812" s="678"/>
      <c r="V812" s="679"/>
      <c r="W812" s="675"/>
      <c r="X812" s="675"/>
      <c r="Y812" s="675"/>
      <c r="Z812" s="675"/>
    </row>
    <row r="813">
      <c r="A813" s="675"/>
      <c r="B813" s="677"/>
      <c r="C813" s="807"/>
      <c r="D813" s="808"/>
      <c r="E813" s="693"/>
      <c r="F813" s="809"/>
      <c r="G813" s="809"/>
      <c r="H813" s="809"/>
      <c r="I813" s="809"/>
      <c r="J813" s="809"/>
      <c r="K813" s="809"/>
      <c r="L813" s="809"/>
      <c r="M813" s="809"/>
      <c r="N813" s="809"/>
      <c r="O813" s="809"/>
      <c r="P813" s="809"/>
      <c r="Q813" s="809"/>
      <c r="R813" s="675"/>
      <c r="S813" s="675"/>
      <c r="T813" s="675"/>
      <c r="U813" s="678"/>
      <c r="V813" s="679"/>
      <c r="W813" s="675"/>
      <c r="X813" s="675"/>
      <c r="Y813" s="675"/>
      <c r="Z813" s="675"/>
    </row>
    <row r="814">
      <c r="A814" s="675"/>
      <c r="B814" s="677"/>
      <c r="C814" s="807"/>
      <c r="D814" s="808"/>
      <c r="E814" s="693"/>
      <c r="F814" s="809"/>
      <c r="G814" s="809"/>
      <c r="H814" s="809"/>
      <c r="I814" s="809"/>
      <c r="J814" s="809"/>
      <c r="K814" s="809"/>
      <c r="L814" s="809"/>
      <c r="M814" s="809"/>
      <c r="N814" s="809"/>
      <c r="O814" s="809"/>
      <c r="P814" s="809"/>
      <c r="Q814" s="809"/>
      <c r="R814" s="675"/>
      <c r="S814" s="675"/>
      <c r="T814" s="675"/>
      <c r="U814" s="678"/>
      <c r="V814" s="679"/>
      <c r="W814" s="675"/>
      <c r="X814" s="675"/>
      <c r="Y814" s="675"/>
      <c r="Z814" s="675"/>
    </row>
    <row r="815">
      <c r="A815" s="675"/>
      <c r="B815" s="677"/>
      <c r="C815" s="807"/>
      <c r="D815" s="808"/>
      <c r="E815" s="693"/>
      <c r="F815" s="809"/>
      <c r="G815" s="809"/>
      <c r="H815" s="809"/>
      <c r="I815" s="809"/>
      <c r="J815" s="809"/>
      <c r="K815" s="809"/>
      <c r="L815" s="809"/>
      <c r="M815" s="809"/>
      <c r="N815" s="809"/>
      <c r="O815" s="809"/>
      <c r="P815" s="809"/>
      <c r="Q815" s="809"/>
      <c r="R815" s="675"/>
      <c r="S815" s="675"/>
      <c r="T815" s="675"/>
      <c r="U815" s="678"/>
      <c r="V815" s="679"/>
      <c r="W815" s="675"/>
      <c r="X815" s="675"/>
      <c r="Y815" s="675"/>
      <c r="Z815" s="675"/>
    </row>
    <row r="816">
      <c r="A816" s="675"/>
      <c r="B816" s="677"/>
      <c r="C816" s="807"/>
      <c r="D816" s="808"/>
      <c r="E816" s="693"/>
      <c r="F816" s="809"/>
      <c r="G816" s="809"/>
      <c r="H816" s="809"/>
      <c r="I816" s="809"/>
      <c r="J816" s="809"/>
      <c r="K816" s="809"/>
      <c r="L816" s="809"/>
      <c r="M816" s="809"/>
      <c r="N816" s="809"/>
      <c r="O816" s="809"/>
      <c r="P816" s="809"/>
      <c r="Q816" s="809"/>
      <c r="R816" s="675"/>
      <c r="S816" s="675"/>
      <c r="T816" s="675"/>
      <c r="U816" s="678"/>
      <c r="V816" s="679"/>
      <c r="W816" s="675"/>
      <c r="X816" s="675"/>
      <c r="Y816" s="675"/>
      <c r="Z816" s="675"/>
    </row>
    <row r="817">
      <c r="A817" s="675"/>
      <c r="B817" s="677"/>
      <c r="C817" s="807"/>
      <c r="D817" s="808"/>
      <c r="E817" s="693"/>
      <c r="F817" s="809"/>
      <c r="G817" s="809"/>
      <c r="H817" s="809"/>
      <c r="I817" s="809"/>
      <c r="J817" s="809"/>
      <c r="K817" s="809"/>
      <c r="L817" s="809"/>
      <c r="M817" s="809"/>
      <c r="N817" s="809"/>
      <c r="O817" s="809"/>
      <c r="P817" s="809"/>
      <c r="Q817" s="809"/>
      <c r="R817" s="675"/>
      <c r="S817" s="675"/>
      <c r="T817" s="675"/>
      <c r="U817" s="678"/>
      <c r="V817" s="679"/>
      <c r="W817" s="675"/>
      <c r="X817" s="675"/>
      <c r="Y817" s="675"/>
      <c r="Z817" s="675"/>
    </row>
    <row r="818">
      <c r="A818" s="675"/>
      <c r="B818" s="677"/>
      <c r="C818" s="807"/>
      <c r="D818" s="808"/>
      <c r="E818" s="693"/>
      <c r="F818" s="809"/>
      <c r="G818" s="809"/>
      <c r="H818" s="809"/>
      <c r="I818" s="809"/>
      <c r="J818" s="809"/>
      <c r="K818" s="809"/>
      <c r="L818" s="809"/>
      <c r="M818" s="809"/>
      <c r="N818" s="809"/>
      <c r="O818" s="809"/>
      <c r="P818" s="809"/>
      <c r="Q818" s="809"/>
      <c r="R818" s="675"/>
      <c r="S818" s="675"/>
      <c r="T818" s="675"/>
      <c r="U818" s="678"/>
      <c r="V818" s="679"/>
      <c r="W818" s="675"/>
      <c r="X818" s="675"/>
      <c r="Y818" s="675"/>
      <c r="Z818" s="675"/>
    </row>
    <row r="819">
      <c r="A819" s="675"/>
      <c r="B819" s="677"/>
      <c r="C819" s="807"/>
      <c r="D819" s="808"/>
      <c r="E819" s="693"/>
      <c r="F819" s="809"/>
      <c r="G819" s="809"/>
      <c r="H819" s="809"/>
      <c r="I819" s="809"/>
      <c r="J819" s="809"/>
      <c r="K819" s="809"/>
      <c r="L819" s="809"/>
      <c r="M819" s="809"/>
      <c r="N819" s="809"/>
      <c r="O819" s="809"/>
      <c r="P819" s="809"/>
      <c r="Q819" s="809"/>
      <c r="R819" s="675"/>
      <c r="S819" s="675"/>
      <c r="T819" s="675"/>
      <c r="U819" s="678"/>
      <c r="V819" s="679"/>
      <c r="W819" s="675"/>
      <c r="X819" s="675"/>
      <c r="Y819" s="675"/>
      <c r="Z819" s="675"/>
    </row>
    <row r="820">
      <c r="A820" s="675"/>
      <c r="B820" s="677"/>
      <c r="C820" s="807"/>
      <c r="D820" s="808"/>
      <c r="E820" s="693"/>
      <c r="F820" s="809"/>
      <c r="G820" s="809"/>
      <c r="H820" s="809"/>
      <c r="I820" s="809"/>
      <c r="J820" s="809"/>
      <c r="K820" s="809"/>
      <c r="L820" s="809"/>
      <c r="M820" s="809"/>
      <c r="N820" s="809"/>
      <c r="O820" s="809"/>
      <c r="P820" s="809"/>
      <c r="Q820" s="809"/>
      <c r="R820" s="675"/>
      <c r="S820" s="675"/>
      <c r="T820" s="675"/>
      <c r="U820" s="678"/>
      <c r="V820" s="679"/>
      <c r="W820" s="675"/>
      <c r="X820" s="675"/>
      <c r="Y820" s="675"/>
      <c r="Z820" s="675"/>
    </row>
    <row r="821">
      <c r="A821" s="675"/>
      <c r="B821" s="677"/>
      <c r="C821" s="807"/>
      <c r="D821" s="808"/>
      <c r="E821" s="693"/>
      <c r="F821" s="809"/>
      <c r="G821" s="809"/>
      <c r="H821" s="809"/>
      <c r="I821" s="809"/>
      <c r="J821" s="809"/>
      <c r="K821" s="809"/>
      <c r="L821" s="809"/>
      <c r="M821" s="809"/>
      <c r="N821" s="809"/>
      <c r="O821" s="809"/>
      <c r="P821" s="809"/>
      <c r="Q821" s="809"/>
      <c r="R821" s="675"/>
      <c r="S821" s="675"/>
      <c r="T821" s="675"/>
      <c r="U821" s="678"/>
      <c r="V821" s="679"/>
      <c r="W821" s="675"/>
      <c r="X821" s="675"/>
      <c r="Y821" s="675"/>
      <c r="Z821" s="675"/>
    </row>
    <row r="822">
      <c r="A822" s="675"/>
      <c r="B822" s="677"/>
      <c r="C822" s="807"/>
      <c r="D822" s="808"/>
      <c r="E822" s="693"/>
      <c r="F822" s="809"/>
      <c r="G822" s="809"/>
      <c r="H822" s="809"/>
      <c r="I822" s="809"/>
      <c r="J822" s="809"/>
      <c r="K822" s="809"/>
      <c r="L822" s="809"/>
      <c r="M822" s="809"/>
      <c r="N822" s="809"/>
      <c r="O822" s="809"/>
      <c r="P822" s="809"/>
      <c r="Q822" s="809"/>
      <c r="R822" s="675"/>
      <c r="S822" s="675"/>
      <c r="T822" s="675"/>
      <c r="U822" s="678"/>
      <c r="V822" s="679"/>
      <c r="W822" s="675"/>
      <c r="X822" s="675"/>
      <c r="Y822" s="675"/>
      <c r="Z822" s="675"/>
    </row>
    <row r="823">
      <c r="A823" s="675"/>
      <c r="B823" s="677"/>
      <c r="C823" s="807"/>
      <c r="D823" s="808"/>
      <c r="E823" s="693"/>
      <c r="F823" s="809"/>
      <c r="G823" s="809"/>
      <c r="H823" s="809"/>
      <c r="I823" s="809"/>
      <c r="J823" s="809"/>
      <c r="K823" s="809"/>
      <c r="L823" s="809"/>
      <c r="M823" s="809"/>
      <c r="N823" s="809"/>
      <c r="O823" s="809"/>
      <c r="P823" s="809"/>
      <c r="Q823" s="809"/>
      <c r="R823" s="675"/>
      <c r="S823" s="675"/>
      <c r="T823" s="675"/>
      <c r="U823" s="678"/>
      <c r="V823" s="679"/>
      <c r="W823" s="675"/>
      <c r="X823" s="675"/>
      <c r="Y823" s="675"/>
      <c r="Z823" s="675"/>
    </row>
    <row r="824">
      <c r="A824" s="675"/>
      <c r="B824" s="677"/>
      <c r="C824" s="807"/>
      <c r="D824" s="808"/>
      <c r="E824" s="693"/>
      <c r="F824" s="809"/>
      <c r="G824" s="809"/>
      <c r="H824" s="809"/>
      <c r="I824" s="809"/>
      <c r="J824" s="809"/>
      <c r="K824" s="809"/>
      <c r="L824" s="809"/>
      <c r="M824" s="809"/>
      <c r="N824" s="809"/>
      <c r="O824" s="809"/>
      <c r="P824" s="809"/>
      <c r="Q824" s="809"/>
      <c r="R824" s="675"/>
      <c r="S824" s="675"/>
      <c r="T824" s="675"/>
      <c r="U824" s="678"/>
      <c r="V824" s="679"/>
      <c r="W824" s="675"/>
      <c r="X824" s="675"/>
      <c r="Y824" s="675"/>
      <c r="Z824" s="675"/>
    </row>
    <row r="825">
      <c r="A825" s="675"/>
      <c r="B825" s="677"/>
      <c r="C825" s="807"/>
      <c r="D825" s="808"/>
      <c r="E825" s="693"/>
      <c r="F825" s="809"/>
      <c r="G825" s="809"/>
      <c r="H825" s="809"/>
      <c r="I825" s="809"/>
      <c r="J825" s="809"/>
      <c r="K825" s="809"/>
      <c r="L825" s="809"/>
      <c r="M825" s="809"/>
      <c r="N825" s="809"/>
      <c r="O825" s="809"/>
      <c r="P825" s="809"/>
      <c r="Q825" s="809"/>
      <c r="R825" s="675"/>
      <c r="S825" s="675"/>
      <c r="T825" s="675"/>
      <c r="U825" s="678"/>
      <c r="V825" s="679"/>
      <c r="W825" s="675"/>
      <c r="X825" s="675"/>
      <c r="Y825" s="675"/>
      <c r="Z825" s="675"/>
    </row>
    <row r="826">
      <c r="A826" s="675"/>
      <c r="B826" s="677"/>
      <c r="C826" s="807"/>
      <c r="D826" s="808"/>
      <c r="E826" s="693"/>
      <c r="F826" s="809"/>
      <c r="G826" s="809"/>
      <c r="H826" s="809"/>
      <c r="I826" s="809"/>
      <c r="J826" s="809"/>
      <c r="K826" s="809"/>
      <c r="L826" s="809"/>
      <c r="M826" s="809"/>
      <c r="N826" s="809"/>
      <c r="O826" s="809"/>
      <c r="P826" s="809"/>
      <c r="Q826" s="809"/>
      <c r="R826" s="675"/>
      <c r="S826" s="675"/>
      <c r="T826" s="675"/>
      <c r="U826" s="678"/>
      <c r="V826" s="679"/>
      <c r="W826" s="675"/>
      <c r="X826" s="675"/>
      <c r="Y826" s="675"/>
      <c r="Z826" s="675"/>
    </row>
    <row r="827">
      <c r="A827" s="675"/>
      <c r="B827" s="677"/>
      <c r="C827" s="807"/>
      <c r="D827" s="808"/>
      <c r="E827" s="693"/>
      <c r="F827" s="809"/>
      <c r="G827" s="809"/>
      <c r="H827" s="809"/>
      <c r="I827" s="809"/>
      <c r="J827" s="809"/>
      <c r="K827" s="809"/>
      <c r="L827" s="809"/>
      <c r="M827" s="809"/>
      <c r="N827" s="809"/>
      <c r="O827" s="809"/>
      <c r="P827" s="809"/>
      <c r="Q827" s="809"/>
      <c r="R827" s="675"/>
      <c r="S827" s="675"/>
      <c r="T827" s="675"/>
      <c r="U827" s="678"/>
      <c r="V827" s="679"/>
      <c r="W827" s="675"/>
      <c r="X827" s="675"/>
      <c r="Y827" s="675"/>
      <c r="Z827" s="675"/>
    </row>
    <row r="828">
      <c r="A828" s="675"/>
      <c r="B828" s="677"/>
      <c r="C828" s="807"/>
      <c r="D828" s="808"/>
      <c r="E828" s="693"/>
      <c r="F828" s="809"/>
      <c r="G828" s="809"/>
      <c r="H828" s="809"/>
      <c r="I828" s="809"/>
      <c r="J828" s="809"/>
      <c r="K828" s="809"/>
      <c r="L828" s="809"/>
      <c r="M828" s="809"/>
      <c r="N828" s="809"/>
      <c r="O828" s="809"/>
      <c r="P828" s="809"/>
      <c r="Q828" s="809"/>
      <c r="R828" s="675"/>
      <c r="S828" s="675"/>
      <c r="T828" s="675"/>
      <c r="U828" s="678"/>
      <c r="V828" s="679"/>
      <c r="W828" s="675"/>
      <c r="X828" s="675"/>
      <c r="Y828" s="675"/>
      <c r="Z828" s="675"/>
    </row>
    <row r="829">
      <c r="A829" s="675"/>
      <c r="B829" s="677"/>
      <c r="C829" s="807"/>
      <c r="D829" s="808"/>
      <c r="E829" s="693"/>
      <c r="F829" s="809"/>
      <c r="G829" s="809"/>
      <c r="H829" s="809"/>
      <c r="I829" s="809"/>
      <c r="J829" s="809"/>
      <c r="K829" s="809"/>
      <c r="L829" s="809"/>
      <c r="M829" s="809"/>
      <c r="N829" s="809"/>
      <c r="O829" s="809"/>
      <c r="P829" s="809"/>
      <c r="Q829" s="809"/>
      <c r="R829" s="675"/>
      <c r="S829" s="675"/>
      <c r="T829" s="675"/>
      <c r="U829" s="678"/>
      <c r="V829" s="679"/>
      <c r="W829" s="675"/>
      <c r="X829" s="675"/>
      <c r="Y829" s="675"/>
      <c r="Z829" s="675"/>
    </row>
    <row r="830">
      <c r="A830" s="675"/>
      <c r="B830" s="677"/>
      <c r="C830" s="807"/>
      <c r="D830" s="808"/>
      <c r="E830" s="693"/>
      <c r="F830" s="809"/>
      <c r="G830" s="809"/>
      <c r="H830" s="809"/>
      <c r="I830" s="809"/>
      <c r="J830" s="809"/>
      <c r="K830" s="809"/>
      <c r="L830" s="809"/>
      <c r="M830" s="809"/>
      <c r="N830" s="809"/>
      <c r="O830" s="809"/>
      <c r="P830" s="809"/>
      <c r="Q830" s="809"/>
      <c r="R830" s="675"/>
      <c r="S830" s="675"/>
      <c r="T830" s="675"/>
      <c r="U830" s="678"/>
      <c r="V830" s="679"/>
      <c r="W830" s="675"/>
      <c r="X830" s="675"/>
      <c r="Y830" s="675"/>
      <c r="Z830" s="675"/>
    </row>
    <row r="831">
      <c r="A831" s="675"/>
      <c r="B831" s="677"/>
      <c r="C831" s="807"/>
      <c r="D831" s="808"/>
      <c r="E831" s="693"/>
      <c r="F831" s="809"/>
      <c r="G831" s="809"/>
      <c r="H831" s="809"/>
      <c r="I831" s="809"/>
      <c r="J831" s="809"/>
      <c r="K831" s="809"/>
      <c r="L831" s="809"/>
      <c r="M831" s="809"/>
      <c r="N831" s="809"/>
      <c r="O831" s="809"/>
      <c r="P831" s="809"/>
      <c r="Q831" s="809"/>
      <c r="R831" s="675"/>
      <c r="S831" s="675"/>
      <c r="T831" s="675"/>
      <c r="U831" s="678"/>
      <c r="V831" s="679"/>
      <c r="W831" s="675"/>
      <c r="X831" s="675"/>
      <c r="Y831" s="675"/>
      <c r="Z831" s="675"/>
    </row>
    <row r="832">
      <c r="A832" s="675"/>
      <c r="B832" s="677"/>
      <c r="C832" s="807"/>
      <c r="D832" s="808"/>
      <c r="E832" s="693"/>
      <c r="F832" s="809"/>
      <c r="G832" s="809"/>
      <c r="H832" s="809"/>
      <c r="I832" s="809"/>
      <c r="J832" s="809"/>
      <c r="K832" s="809"/>
      <c r="L832" s="809"/>
      <c r="M832" s="809"/>
      <c r="N832" s="809"/>
      <c r="O832" s="809"/>
      <c r="P832" s="809"/>
      <c r="Q832" s="809"/>
      <c r="R832" s="675"/>
      <c r="S832" s="675"/>
      <c r="T832" s="675"/>
      <c r="U832" s="678"/>
      <c r="V832" s="679"/>
      <c r="W832" s="675"/>
      <c r="X832" s="675"/>
      <c r="Y832" s="675"/>
      <c r="Z832" s="675"/>
    </row>
    <row r="833">
      <c r="A833" s="675"/>
      <c r="B833" s="677"/>
      <c r="C833" s="807"/>
      <c r="D833" s="808"/>
      <c r="E833" s="693"/>
      <c r="F833" s="809"/>
      <c r="G833" s="809"/>
      <c r="H833" s="809"/>
      <c r="I833" s="809"/>
      <c r="J833" s="809"/>
      <c r="K833" s="809"/>
      <c r="L833" s="809"/>
      <c r="M833" s="809"/>
      <c r="N833" s="809"/>
      <c r="O833" s="809"/>
      <c r="P833" s="809"/>
      <c r="Q833" s="809"/>
      <c r="R833" s="675"/>
      <c r="S833" s="675"/>
      <c r="T833" s="675"/>
      <c r="U833" s="678"/>
      <c r="V833" s="679"/>
      <c r="W833" s="675"/>
      <c r="X833" s="675"/>
      <c r="Y833" s="675"/>
      <c r="Z833" s="675"/>
    </row>
    <row r="834">
      <c r="A834" s="675"/>
      <c r="B834" s="677"/>
      <c r="C834" s="807"/>
      <c r="D834" s="808"/>
      <c r="E834" s="693"/>
      <c r="F834" s="809"/>
      <c r="G834" s="809"/>
      <c r="H834" s="809"/>
      <c r="I834" s="809"/>
      <c r="J834" s="809"/>
      <c r="K834" s="809"/>
      <c r="L834" s="809"/>
      <c r="M834" s="809"/>
      <c r="N834" s="809"/>
      <c r="O834" s="809"/>
      <c r="P834" s="809"/>
      <c r="Q834" s="809"/>
      <c r="R834" s="675"/>
      <c r="S834" s="675"/>
      <c r="T834" s="675"/>
      <c r="U834" s="678"/>
      <c r="V834" s="679"/>
      <c r="W834" s="675"/>
      <c r="X834" s="675"/>
      <c r="Y834" s="675"/>
      <c r="Z834" s="675"/>
    </row>
    <row r="835">
      <c r="A835" s="675"/>
      <c r="B835" s="677"/>
      <c r="C835" s="807"/>
      <c r="D835" s="808"/>
      <c r="E835" s="693"/>
      <c r="F835" s="809"/>
      <c r="G835" s="809"/>
      <c r="H835" s="809"/>
      <c r="I835" s="809"/>
      <c r="J835" s="809"/>
      <c r="K835" s="809"/>
      <c r="L835" s="809"/>
      <c r="M835" s="809"/>
      <c r="N835" s="809"/>
      <c r="O835" s="809"/>
      <c r="P835" s="809"/>
      <c r="Q835" s="809"/>
      <c r="R835" s="675"/>
      <c r="S835" s="675"/>
      <c r="T835" s="675"/>
      <c r="U835" s="678"/>
      <c r="V835" s="679"/>
      <c r="W835" s="675"/>
      <c r="X835" s="675"/>
      <c r="Y835" s="675"/>
      <c r="Z835" s="675"/>
    </row>
    <row r="836">
      <c r="A836" s="675"/>
      <c r="B836" s="677"/>
      <c r="C836" s="807"/>
      <c r="D836" s="808"/>
      <c r="E836" s="693"/>
      <c r="F836" s="809"/>
      <c r="G836" s="809"/>
      <c r="H836" s="809"/>
      <c r="I836" s="809"/>
      <c r="J836" s="809"/>
      <c r="K836" s="809"/>
      <c r="L836" s="809"/>
      <c r="M836" s="809"/>
      <c r="N836" s="809"/>
      <c r="O836" s="809"/>
      <c r="P836" s="809"/>
      <c r="Q836" s="809"/>
      <c r="R836" s="675"/>
      <c r="S836" s="675"/>
      <c r="T836" s="675"/>
      <c r="U836" s="678"/>
      <c r="V836" s="679"/>
      <c r="W836" s="675"/>
      <c r="X836" s="675"/>
      <c r="Y836" s="675"/>
      <c r="Z836" s="675"/>
    </row>
    <row r="837">
      <c r="A837" s="675"/>
      <c r="B837" s="677"/>
      <c r="C837" s="807"/>
      <c r="D837" s="808"/>
      <c r="E837" s="693"/>
      <c r="F837" s="809"/>
      <c r="G837" s="809"/>
      <c r="H837" s="809"/>
      <c r="I837" s="809"/>
      <c r="J837" s="809"/>
      <c r="K837" s="809"/>
      <c r="L837" s="809"/>
      <c r="M837" s="809"/>
      <c r="N837" s="809"/>
      <c r="O837" s="809"/>
      <c r="P837" s="809"/>
      <c r="Q837" s="809"/>
      <c r="R837" s="675"/>
      <c r="S837" s="675"/>
      <c r="T837" s="675"/>
      <c r="U837" s="678"/>
      <c r="V837" s="679"/>
      <c r="W837" s="675"/>
      <c r="X837" s="675"/>
      <c r="Y837" s="675"/>
      <c r="Z837" s="675"/>
    </row>
    <row r="838">
      <c r="A838" s="675"/>
      <c r="B838" s="677"/>
      <c r="C838" s="807"/>
      <c r="D838" s="808"/>
      <c r="E838" s="693"/>
      <c r="F838" s="809"/>
      <c r="G838" s="809"/>
      <c r="H838" s="809"/>
      <c r="I838" s="809"/>
      <c r="J838" s="809"/>
      <c r="K838" s="809"/>
      <c r="L838" s="809"/>
      <c r="M838" s="809"/>
      <c r="N838" s="809"/>
      <c r="O838" s="809"/>
      <c r="P838" s="809"/>
      <c r="Q838" s="809"/>
      <c r="R838" s="675"/>
      <c r="S838" s="675"/>
      <c r="T838" s="675"/>
      <c r="U838" s="678"/>
      <c r="V838" s="679"/>
      <c r="W838" s="675"/>
      <c r="X838" s="675"/>
      <c r="Y838" s="675"/>
      <c r="Z838" s="675"/>
    </row>
    <row r="839">
      <c r="A839" s="675"/>
      <c r="B839" s="677"/>
      <c r="C839" s="807"/>
      <c r="D839" s="808"/>
      <c r="E839" s="693"/>
      <c r="F839" s="809"/>
      <c r="G839" s="809"/>
      <c r="H839" s="809"/>
      <c r="I839" s="809"/>
      <c r="J839" s="809"/>
      <c r="K839" s="809"/>
      <c r="L839" s="809"/>
      <c r="M839" s="809"/>
      <c r="N839" s="809"/>
      <c r="O839" s="809"/>
      <c r="P839" s="809"/>
      <c r="Q839" s="809"/>
      <c r="R839" s="675"/>
      <c r="S839" s="675"/>
      <c r="T839" s="675"/>
      <c r="U839" s="678"/>
      <c r="V839" s="679"/>
      <c r="W839" s="675"/>
      <c r="X839" s="675"/>
      <c r="Y839" s="675"/>
      <c r="Z839" s="675"/>
    </row>
    <row r="840">
      <c r="A840" s="675"/>
      <c r="B840" s="677"/>
      <c r="C840" s="807"/>
      <c r="D840" s="808"/>
      <c r="E840" s="693"/>
      <c r="F840" s="809"/>
      <c r="G840" s="809"/>
      <c r="H840" s="809"/>
      <c r="I840" s="809"/>
      <c r="J840" s="809"/>
      <c r="K840" s="809"/>
      <c r="L840" s="809"/>
      <c r="M840" s="809"/>
      <c r="N840" s="809"/>
      <c r="O840" s="809"/>
      <c r="P840" s="809"/>
      <c r="Q840" s="809"/>
      <c r="R840" s="675"/>
      <c r="S840" s="675"/>
      <c r="T840" s="675"/>
      <c r="U840" s="678"/>
      <c r="V840" s="679"/>
      <c r="W840" s="675"/>
      <c r="X840" s="675"/>
      <c r="Y840" s="675"/>
      <c r="Z840" s="675"/>
    </row>
    <row r="841">
      <c r="A841" s="675"/>
      <c r="B841" s="677"/>
      <c r="C841" s="807"/>
      <c r="D841" s="808"/>
      <c r="E841" s="693"/>
      <c r="F841" s="809"/>
      <c r="G841" s="809"/>
      <c r="H841" s="809"/>
      <c r="I841" s="809"/>
      <c r="J841" s="809"/>
      <c r="K841" s="809"/>
      <c r="L841" s="809"/>
      <c r="M841" s="809"/>
      <c r="N841" s="809"/>
      <c r="O841" s="809"/>
      <c r="P841" s="809"/>
      <c r="Q841" s="809"/>
      <c r="R841" s="675"/>
      <c r="S841" s="675"/>
      <c r="T841" s="675"/>
      <c r="U841" s="678"/>
      <c r="V841" s="679"/>
      <c r="W841" s="675"/>
      <c r="X841" s="675"/>
      <c r="Y841" s="675"/>
      <c r="Z841" s="675"/>
    </row>
    <row r="842">
      <c r="A842" s="675"/>
      <c r="B842" s="677"/>
      <c r="C842" s="807"/>
      <c r="D842" s="808"/>
      <c r="E842" s="693"/>
      <c r="F842" s="809"/>
      <c r="G842" s="809"/>
      <c r="H842" s="809"/>
      <c r="I842" s="809"/>
      <c r="J842" s="809"/>
      <c r="K842" s="809"/>
      <c r="L842" s="809"/>
      <c r="M842" s="809"/>
      <c r="N842" s="809"/>
      <c r="O842" s="809"/>
      <c r="P842" s="809"/>
      <c r="Q842" s="809"/>
      <c r="R842" s="675"/>
      <c r="S842" s="675"/>
      <c r="T842" s="675"/>
      <c r="U842" s="678"/>
      <c r="V842" s="679"/>
      <c r="W842" s="675"/>
      <c r="X842" s="675"/>
      <c r="Y842" s="675"/>
      <c r="Z842" s="675"/>
    </row>
    <row r="843">
      <c r="A843" s="675"/>
      <c r="B843" s="677"/>
      <c r="C843" s="807"/>
      <c r="D843" s="808"/>
      <c r="E843" s="693"/>
      <c r="F843" s="809"/>
      <c r="G843" s="809"/>
      <c r="H843" s="809"/>
      <c r="I843" s="809"/>
      <c r="J843" s="809"/>
      <c r="K843" s="809"/>
      <c r="L843" s="809"/>
      <c r="M843" s="809"/>
      <c r="N843" s="809"/>
      <c r="O843" s="809"/>
      <c r="P843" s="809"/>
      <c r="Q843" s="809"/>
      <c r="R843" s="675"/>
      <c r="S843" s="675"/>
      <c r="T843" s="675"/>
      <c r="U843" s="678"/>
      <c r="V843" s="679"/>
      <c r="W843" s="675"/>
      <c r="X843" s="675"/>
      <c r="Y843" s="675"/>
      <c r="Z843" s="675"/>
    </row>
    <row r="844">
      <c r="A844" s="675"/>
      <c r="B844" s="677"/>
      <c r="C844" s="807"/>
      <c r="D844" s="808"/>
      <c r="E844" s="693"/>
      <c r="F844" s="809"/>
      <c r="G844" s="809"/>
      <c r="H844" s="809"/>
      <c r="I844" s="809"/>
      <c r="J844" s="809"/>
      <c r="K844" s="809"/>
      <c r="L844" s="809"/>
      <c r="M844" s="809"/>
      <c r="N844" s="809"/>
      <c r="O844" s="809"/>
      <c r="P844" s="809"/>
      <c r="Q844" s="809"/>
      <c r="R844" s="675"/>
      <c r="S844" s="675"/>
      <c r="T844" s="675"/>
      <c r="U844" s="678"/>
      <c r="V844" s="679"/>
      <c r="W844" s="675"/>
      <c r="X844" s="675"/>
      <c r="Y844" s="675"/>
      <c r="Z844" s="675"/>
    </row>
    <row r="845">
      <c r="A845" s="675"/>
      <c r="B845" s="677"/>
      <c r="C845" s="807"/>
      <c r="D845" s="808"/>
      <c r="E845" s="693"/>
      <c r="F845" s="809"/>
      <c r="G845" s="809"/>
      <c r="H845" s="809"/>
      <c r="I845" s="809"/>
      <c r="J845" s="809"/>
      <c r="K845" s="809"/>
      <c r="L845" s="809"/>
      <c r="M845" s="809"/>
      <c r="N845" s="809"/>
      <c r="O845" s="809"/>
      <c r="P845" s="809"/>
      <c r="Q845" s="809"/>
      <c r="R845" s="675"/>
      <c r="S845" s="675"/>
      <c r="T845" s="675"/>
      <c r="U845" s="678"/>
      <c r="V845" s="679"/>
      <c r="W845" s="675"/>
      <c r="X845" s="675"/>
      <c r="Y845" s="675"/>
      <c r="Z845" s="675"/>
    </row>
    <row r="846">
      <c r="A846" s="675"/>
      <c r="B846" s="677"/>
      <c r="C846" s="807"/>
      <c r="D846" s="808"/>
      <c r="E846" s="693"/>
      <c r="F846" s="809"/>
      <c r="G846" s="809"/>
      <c r="H846" s="809"/>
      <c r="I846" s="809"/>
      <c r="J846" s="809"/>
      <c r="K846" s="809"/>
      <c r="L846" s="809"/>
      <c r="M846" s="809"/>
      <c r="N846" s="809"/>
      <c r="O846" s="809"/>
      <c r="P846" s="809"/>
      <c r="Q846" s="809"/>
      <c r="R846" s="675"/>
      <c r="S846" s="675"/>
      <c r="T846" s="675"/>
      <c r="U846" s="678"/>
      <c r="V846" s="679"/>
      <c r="W846" s="675"/>
      <c r="X846" s="675"/>
      <c r="Y846" s="675"/>
      <c r="Z846" s="675"/>
    </row>
    <row r="847">
      <c r="A847" s="675"/>
      <c r="B847" s="677"/>
      <c r="C847" s="807"/>
      <c r="D847" s="808"/>
      <c r="E847" s="693"/>
      <c r="F847" s="809"/>
      <c r="G847" s="809"/>
      <c r="H847" s="809"/>
      <c r="I847" s="809"/>
      <c r="J847" s="809"/>
      <c r="K847" s="809"/>
      <c r="L847" s="809"/>
      <c r="M847" s="809"/>
      <c r="N847" s="809"/>
      <c r="O847" s="809"/>
      <c r="P847" s="809"/>
      <c r="Q847" s="809"/>
      <c r="R847" s="675"/>
      <c r="S847" s="675"/>
      <c r="T847" s="675"/>
      <c r="U847" s="678"/>
      <c r="V847" s="679"/>
      <c r="W847" s="675"/>
      <c r="X847" s="675"/>
      <c r="Y847" s="675"/>
      <c r="Z847" s="675"/>
    </row>
    <row r="848">
      <c r="A848" s="675"/>
      <c r="B848" s="677"/>
      <c r="C848" s="807"/>
      <c r="D848" s="808"/>
      <c r="E848" s="693"/>
      <c r="F848" s="809"/>
      <c r="G848" s="809"/>
      <c r="H848" s="809"/>
      <c r="I848" s="809"/>
      <c r="J848" s="809"/>
      <c r="K848" s="809"/>
      <c r="L848" s="809"/>
      <c r="M848" s="809"/>
      <c r="N848" s="809"/>
      <c r="O848" s="809"/>
      <c r="P848" s="809"/>
      <c r="Q848" s="809"/>
      <c r="R848" s="675"/>
      <c r="S848" s="675"/>
      <c r="T848" s="675"/>
      <c r="U848" s="678"/>
      <c r="V848" s="679"/>
      <c r="W848" s="675"/>
      <c r="X848" s="675"/>
      <c r="Y848" s="675"/>
      <c r="Z848" s="675"/>
    </row>
    <row r="849">
      <c r="A849" s="675"/>
      <c r="B849" s="677"/>
      <c r="C849" s="807"/>
      <c r="D849" s="808"/>
      <c r="E849" s="693"/>
      <c r="F849" s="809"/>
      <c r="G849" s="809"/>
      <c r="H849" s="809"/>
      <c r="I849" s="809"/>
      <c r="J849" s="809"/>
      <c r="K849" s="809"/>
      <c r="L849" s="809"/>
      <c r="M849" s="809"/>
      <c r="N849" s="809"/>
      <c r="O849" s="809"/>
      <c r="P849" s="809"/>
      <c r="Q849" s="809"/>
      <c r="R849" s="675"/>
      <c r="S849" s="675"/>
      <c r="T849" s="675"/>
      <c r="U849" s="678"/>
      <c r="V849" s="679"/>
      <c r="W849" s="675"/>
      <c r="X849" s="675"/>
      <c r="Y849" s="675"/>
      <c r="Z849" s="675"/>
    </row>
    <row r="850">
      <c r="A850" s="675"/>
      <c r="B850" s="677"/>
      <c r="C850" s="807"/>
      <c r="D850" s="808"/>
      <c r="E850" s="693"/>
      <c r="F850" s="809"/>
      <c r="G850" s="809"/>
      <c r="H850" s="809"/>
      <c r="I850" s="809"/>
      <c r="J850" s="809"/>
      <c r="K850" s="809"/>
      <c r="L850" s="809"/>
      <c r="M850" s="809"/>
      <c r="N850" s="809"/>
      <c r="O850" s="809"/>
      <c r="P850" s="809"/>
      <c r="Q850" s="809"/>
      <c r="R850" s="675"/>
      <c r="S850" s="675"/>
      <c r="T850" s="675"/>
      <c r="U850" s="678"/>
      <c r="V850" s="679"/>
      <c r="W850" s="675"/>
      <c r="X850" s="675"/>
      <c r="Y850" s="675"/>
      <c r="Z850" s="675"/>
    </row>
    <row r="851">
      <c r="A851" s="675"/>
      <c r="B851" s="677"/>
      <c r="C851" s="807"/>
      <c r="D851" s="808"/>
      <c r="E851" s="693"/>
      <c r="F851" s="809"/>
      <c r="G851" s="809"/>
      <c r="H851" s="809"/>
      <c r="I851" s="809"/>
      <c r="J851" s="809"/>
      <c r="K851" s="809"/>
      <c r="L851" s="809"/>
      <c r="M851" s="809"/>
      <c r="N851" s="809"/>
      <c r="O851" s="809"/>
      <c r="P851" s="809"/>
      <c r="Q851" s="809"/>
      <c r="R851" s="675"/>
      <c r="S851" s="675"/>
      <c r="T851" s="675"/>
      <c r="U851" s="678"/>
      <c r="V851" s="679"/>
      <c r="W851" s="675"/>
      <c r="X851" s="675"/>
      <c r="Y851" s="675"/>
      <c r="Z851" s="675"/>
    </row>
    <row r="852">
      <c r="A852" s="675"/>
      <c r="B852" s="677"/>
      <c r="C852" s="807"/>
      <c r="D852" s="808"/>
      <c r="E852" s="693"/>
      <c r="F852" s="809"/>
      <c r="G852" s="809"/>
      <c r="H852" s="809"/>
      <c r="I852" s="809"/>
      <c r="J852" s="809"/>
      <c r="K852" s="809"/>
      <c r="L852" s="809"/>
      <c r="M852" s="809"/>
      <c r="N852" s="809"/>
      <c r="O852" s="809"/>
      <c r="P852" s="809"/>
      <c r="Q852" s="809"/>
      <c r="R852" s="675"/>
      <c r="S852" s="675"/>
      <c r="T852" s="675"/>
      <c r="U852" s="678"/>
      <c r="V852" s="679"/>
      <c r="W852" s="675"/>
      <c r="X852" s="675"/>
      <c r="Y852" s="675"/>
      <c r="Z852" s="675"/>
    </row>
    <row r="853">
      <c r="A853" s="675"/>
      <c r="B853" s="677"/>
      <c r="C853" s="807"/>
      <c r="D853" s="808"/>
      <c r="E853" s="693"/>
      <c r="F853" s="809"/>
      <c r="G853" s="809"/>
      <c r="H853" s="809"/>
      <c r="I853" s="809"/>
      <c r="J853" s="809"/>
      <c r="K853" s="809"/>
      <c r="L853" s="809"/>
      <c r="M853" s="809"/>
      <c r="N853" s="809"/>
      <c r="O853" s="809"/>
      <c r="P853" s="809"/>
      <c r="Q853" s="809"/>
      <c r="R853" s="675"/>
      <c r="S853" s="675"/>
      <c r="T853" s="675"/>
      <c r="U853" s="678"/>
      <c r="V853" s="679"/>
      <c r="W853" s="675"/>
      <c r="X853" s="675"/>
      <c r="Y853" s="675"/>
      <c r="Z853" s="675"/>
    </row>
    <row r="854">
      <c r="A854" s="675"/>
      <c r="B854" s="677"/>
      <c r="C854" s="807"/>
      <c r="D854" s="808"/>
      <c r="E854" s="693"/>
      <c r="F854" s="809"/>
      <c r="G854" s="809"/>
      <c r="H854" s="809"/>
      <c r="I854" s="809"/>
      <c r="J854" s="809"/>
      <c r="K854" s="809"/>
      <c r="L854" s="809"/>
      <c r="M854" s="809"/>
      <c r="N854" s="809"/>
      <c r="O854" s="809"/>
      <c r="P854" s="809"/>
      <c r="Q854" s="809"/>
      <c r="R854" s="675"/>
      <c r="S854" s="675"/>
      <c r="T854" s="675"/>
      <c r="U854" s="678"/>
      <c r="V854" s="679"/>
      <c r="W854" s="675"/>
      <c r="X854" s="675"/>
      <c r="Y854" s="675"/>
      <c r="Z854" s="675"/>
    </row>
    <row r="855">
      <c r="A855" s="675"/>
      <c r="B855" s="677"/>
      <c r="C855" s="807"/>
      <c r="D855" s="808"/>
      <c r="E855" s="693"/>
      <c r="F855" s="809"/>
      <c r="G855" s="809"/>
      <c r="H855" s="809"/>
      <c r="I855" s="809"/>
      <c r="J855" s="809"/>
      <c r="K855" s="809"/>
      <c r="L855" s="809"/>
      <c r="M855" s="809"/>
      <c r="N855" s="809"/>
      <c r="O855" s="809"/>
      <c r="P855" s="809"/>
      <c r="Q855" s="809"/>
      <c r="R855" s="675"/>
      <c r="S855" s="675"/>
      <c r="T855" s="675"/>
      <c r="U855" s="678"/>
      <c r="V855" s="679"/>
      <c r="W855" s="675"/>
      <c r="X855" s="675"/>
      <c r="Y855" s="675"/>
      <c r="Z855" s="675"/>
    </row>
    <row r="856">
      <c r="A856" s="675"/>
      <c r="B856" s="677"/>
      <c r="C856" s="807"/>
      <c r="D856" s="808"/>
      <c r="E856" s="693"/>
      <c r="F856" s="809"/>
      <c r="G856" s="809"/>
      <c r="H856" s="809"/>
      <c r="I856" s="809"/>
      <c r="J856" s="809"/>
      <c r="K856" s="809"/>
      <c r="L856" s="809"/>
      <c r="M856" s="809"/>
      <c r="N856" s="809"/>
      <c r="O856" s="809"/>
      <c r="P856" s="809"/>
      <c r="Q856" s="809"/>
      <c r="R856" s="675"/>
      <c r="S856" s="675"/>
      <c r="T856" s="675"/>
      <c r="U856" s="678"/>
      <c r="V856" s="679"/>
      <c r="W856" s="675"/>
      <c r="X856" s="675"/>
      <c r="Y856" s="675"/>
      <c r="Z856" s="675"/>
    </row>
    <row r="857">
      <c r="A857" s="675"/>
      <c r="B857" s="677"/>
      <c r="C857" s="807"/>
      <c r="D857" s="808"/>
      <c r="E857" s="693"/>
      <c r="F857" s="809"/>
      <c r="G857" s="809"/>
      <c r="H857" s="809"/>
      <c r="I857" s="809"/>
      <c r="J857" s="809"/>
      <c r="K857" s="809"/>
      <c r="L857" s="809"/>
      <c r="M857" s="809"/>
      <c r="N857" s="809"/>
      <c r="O857" s="809"/>
      <c r="P857" s="809"/>
      <c r="Q857" s="809"/>
      <c r="R857" s="675"/>
      <c r="S857" s="675"/>
      <c r="T857" s="675"/>
      <c r="U857" s="678"/>
      <c r="V857" s="679"/>
      <c r="W857" s="675"/>
      <c r="X857" s="675"/>
      <c r="Y857" s="675"/>
      <c r="Z857" s="675"/>
    </row>
    <row r="858">
      <c r="A858" s="675"/>
      <c r="B858" s="677"/>
      <c r="C858" s="807"/>
      <c r="D858" s="808"/>
      <c r="E858" s="693"/>
      <c r="F858" s="809"/>
      <c r="G858" s="809"/>
      <c r="H858" s="809"/>
      <c r="I858" s="809"/>
      <c r="J858" s="809"/>
      <c r="K858" s="809"/>
      <c r="L858" s="809"/>
      <c r="M858" s="809"/>
      <c r="N858" s="809"/>
      <c r="O858" s="809"/>
      <c r="P858" s="809"/>
      <c r="Q858" s="809"/>
      <c r="R858" s="675"/>
      <c r="S858" s="675"/>
      <c r="T858" s="675"/>
      <c r="U858" s="678"/>
      <c r="V858" s="679"/>
      <c r="W858" s="675"/>
      <c r="X858" s="675"/>
      <c r="Y858" s="675"/>
      <c r="Z858" s="675"/>
    </row>
    <row r="859">
      <c r="A859" s="675"/>
      <c r="B859" s="677"/>
      <c r="C859" s="807"/>
      <c r="D859" s="808"/>
      <c r="E859" s="693"/>
      <c r="F859" s="809"/>
      <c r="G859" s="809"/>
      <c r="H859" s="809"/>
      <c r="I859" s="809"/>
      <c r="J859" s="809"/>
      <c r="K859" s="809"/>
      <c r="L859" s="809"/>
      <c r="M859" s="809"/>
      <c r="N859" s="809"/>
      <c r="O859" s="809"/>
      <c r="P859" s="809"/>
      <c r="Q859" s="809"/>
      <c r="R859" s="675"/>
      <c r="S859" s="675"/>
      <c r="T859" s="675"/>
      <c r="U859" s="678"/>
      <c r="V859" s="679"/>
      <c r="W859" s="675"/>
      <c r="X859" s="675"/>
      <c r="Y859" s="675"/>
      <c r="Z859" s="675"/>
    </row>
    <row r="860">
      <c r="A860" s="675"/>
      <c r="B860" s="677"/>
      <c r="C860" s="807"/>
      <c r="D860" s="808"/>
      <c r="E860" s="693"/>
      <c r="F860" s="809"/>
      <c r="G860" s="809"/>
      <c r="H860" s="809"/>
      <c r="I860" s="809"/>
      <c r="J860" s="809"/>
      <c r="K860" s="809"/>
      <c r="L860" s="809"/>
      <c r="M860" s="809"/>
      <c r="N860" s="809"/>
      <c r="O860" s="809"/>
      <c r="P860" s="809"/>
      <c r="Q860" s="809"/>
      <c r="R860" s="675"/>
      <c r="S860" s="675"/>
      <c r="T860" s="675"/>
      <c r="U860" s="678"/>
      <c r="V860" s="679"/>
      <c r="W860" s="675"/>
      <c r="X860" s="675"/>
      <c r="Y860" s="675"/>
      <c r="Z860" s="675"/>
    </row>
    <row r="861">
      <c r="A861" s="675"/>
      <c r="B861" s="677"/>
      <c r="C861" s="807"/>
      <c r="D861" s="808"/>
      <c r="E861" s="693"/>
      <c r="F861" s="809"/>
      <c r="G861" s="809"/>
      <c r="H861" s="809"/>
      <c r="I861" s="809"/>
      <c r="J861" s="809"/>
      <c r="K861" s="809"/>
      <c r="L861" s="809"/>
      <c r="M861" s="809"/>
      <c r="N861" s="809"/>
      <c r="O861" s="809"/>
      <c r="P861" s="809"/>
      <c r="Q861" s="809"/>
      <c r="R861" s="675"/>
      <c r="S861" s="675"/>
      <c r="T861" s="675"/>
      <c r="U861" s="678"/>
      <c r="V861" s="679"/>
      <c r="W861" s="675"/>
      <c r="X861" s="675"/>
      <c r="Y861" s="675"/>
      <c r="Z861" s="675"/>
    </row>
    <row r="862">
      <c r="A862" s="675"/>
      <c r="B862" s="677"/>
      <c r="C862" s="807"/>
      <c r="D862" s="808"/>
      <c r="E862" s="693"/>
      <c r="F862" s="809"/>
      <c r="G862" s="809"/>
      <c r="H862" s="809"/>
      <c r="I862" s="809"/>
      <c r="J862" s="809"/>
      <c r="K862" s="809"/>
      <c r="L862" s="809"/>
      <c r="M862" s="809"/>
      <c r="N862" s="809"/>
      <c r="O862" s="809"/>
      <c r="P862" s="809"/>
      <c r="Q862" s="809"/>
      <c r="R862" s="675"/>
      <c r="S862" s="675"/>
      <c r="T862" s="675"/>
      <c r="U862" s="678"/>
      <c r="V862" s="679"/>
      <c r="W862" s="675"/>
      <c r="X862" s="675"/>
      <c r="Y862" s="675"/>
      <c r="Z862" s="675"/>
    </row>
    <row r="863">
      <c r="A863" s="675"/>
      <c r="B863" s="677"/>
      <c r="C863" s="807"/>
      <c r="D863" s="808"/>
      <c r="E863" s="693"/>
      <c r="F863" s="809"/>
      <c r="G863" s="809"/>
      <c r="H863" s="809"/>
      <c r="I863" s="809"/>
      <c r="J863" s="809"/>
      <c r="K863" s="809"/>
      <c r="L863" s="809"/>
      <c r="M863" s="809"/>
      <c r="N863" s="809"/>
      <c r="O863" s="809"/>
      <c r="P863" s="809"/>
      <c r="Q863" s="809"/>
      <c r="R863" s="675"/>
      <c r="S863" s="675"/>
      <c r="T863" s="675"/>
      <c r="U863" s="678"/>
      <c r="V863" s="679"/>
      <c r="W863" s="675"/>
      <c r="X863" s="675"/>
      <c r="Y863" s="675"/>
      <c r="Z863" s="675"/>
    </row>
    <row r="864">
      <c r="A864" s="675"/>
      <c r="B864" s="677"/>
      <c r="C864" s="807"/>
      <c r="D864" s="808"/>
      <c r="E864" s="693"/>
      <c r="F864" s="809"/>
      <c r="G864" s="809"/>
      <c r="H864" s="809"/>
      <c r="I864" s="809"/>
      <c r="J864" s="809"/>
      <c r="K864" s="809"/>
      <c r="L864" s="809"/>
      <c r="M864" s="809"/>
      <c r="N864" s="809"/>
      <c r="O864" s="809"/>
      <c r="P864" s="809"/>
      <c r="Q864" s="809"/>
      <c r="R864" s="675"/>
      <c r="S864" s="675"/>
      <c r="T864" s="675"/>
      <c r="U864" s="678"/>
      <c r="V864" s="679"/>
      <c r="W864" s="675"/>
      <c r="X864" s="675"/>
      <c r="Y864" s="675"/>
      <c r="Z864" s="675"/>
    </row>
    <row r="865">
      <c r="A865" s="675"/>
      <c r="B865" s="677"/>
      <c r="C865" s="807"/>
      <c r="D865" s="808"/>
      <c r="E865" s="693"/>
      <c r="F865" s="809"/>
      <c r="G865" s="809"/>
      <c r="H865" s="809"/>
      <c r="I865" s="809"/>
      <c r="J865" s="809"/>
      <c r="K865" s="809"/>
      <c r="L865" s="809"/>
      <c r="M865" s="809"/>
      <c r="N865" s="809"/>
      <c r="O865" s="809"/>
      <c r="P865" s="809"/>
      <c r="Q865" s="809"/>
      <c r="R865" s="675"/>
      <c r="S865" s="675"/>
      <c r="T865" s="675"/>
      <c r="U865" s="678"/>
      <c r="V865" s="679"/>
      <c r="W865" s="675"/>
      <c r="X865" s="675"/>
      <c r="Y865" s="675"/>
      <c r="Z865" s="675"/>
    </row>
    <row r="866">
      <c r="A866" s="675"/>
      <c r="B866" s="677"/>
      <c r="C866" s="807"/>
      <c r="D866" s="808"/>
      <c r="E866" s="693"/>
      <c r="F866" s="809"/>
      <c r="G866" s="809"/>
      <c r="H866" s="809"/>
      <c r="I866" s="809"/>
      <c r="J866" s="809"/>
      <c r="K866" s="809"/>
      <c r="L866" s="809"/>
      <c r="M866" s="809"/>
      <c r="N866" s="809"/>
      <c r="O866" s="809"/>
      <c r="P866" s="809"/>
      <c r="Q866" s="809"/>
      <c r="R866" s="675"/>
      <c r="S866" s="675"/>
      <c r="T866" s="675"/>
      <c r="U866" s="678"/>
      <c r="V866" s="679"/>
      <c r="W866" s="675"/>
      <c r="X866" s="675"/>
      <c r="Y866" s="675"/>
      <c r="Z866" s="675"/>
    </row>
    <row r="867">
      <c r="A867" s="675"/>
      <c r="B867" s="677"/>
      <c r="C867" s="807"/>
      <c r="D867" s="808"/>
      <c r="E867" s="693"/>
      <c r="F867" s="809"/>
      <c r="G867" s="809"/>
      <c r="H867" s="809"/>
      <c r="I867" s="809"/>
      <c r="J867" s="809"/>
      <c r="K867" s="809"/>
      <c r="L867" s="809"/>
      <c r="M867" s="809"/>
      <c r="N867" s="809"/>
      <c r="O867" s="809"/>
      <c r="P867" s="809"/>
      <c r="Q867" s="809"/>
      <c r="R867" s="675"/>
      <c r="S867" s="675"/>
      <c r="T867" s="675"/>
      <c r="U867" s="678"/>
      <c r="V867" s="679"/>
      <c r="W867" s="675"/>
      <c r="X867" s="675"/>
      <c r="Y867" s="675"/>
      <c r="Z867" s="675"/>
    </row>
    <row r="868">
      <c r="A868" s="675"/>
      <c r="B868" s="677"/>
      <c r="C868" s="807"/>
      <c r="D868" s="808"/>
      <c r="E868" s="693"/>
      <c r="F868" s="809"/>
      <c r="G868" s="809"/>
      <c r="H868" s="809"/>
      <c r="I868" s="809"/>
      <c r="J868" s="809"/>
      <c r="K868" s="809"/>
      <c r="L868" s="809"/>
      <c r="M868" s="809"/>
      <c r="N868" s="809"/>
      <c r="O868" s="809"/>
      <c r="P868" s="809"/>
      <c r="Q868" s="809"/>
      <c r="R868" s="675"/>
      <c r="S868" s="675"/>
      <c r="T868" s="675"/>
      <c r="U868" s="678"/>
      <c r="V868" s="679"/>
      <c r="W868" s="675"/>
      <c r="X868" s="675"/>
      <c r="Y868" s="675"/>
      <c r="Z868" s="675"/>
    </row>
    <row r="869">
      <c r="A869" s="675"/>
      <c r="B869" s="677"/>
      <c r="C869" s="807"/>
      <c r="D869" s="808"/>
      <c r="E869" s="693"/>
      <c r="F869" s="809"/>
      <c r="G869" s="809"/>
      <c r="H869" s="809"/>
      <c r="I869" s="809"/>
      <c r="J869" s="809"/>
      <c r="K869" s="809"/>
      <c r="L869" s="809"/>
      <c r="M869" s="809"/>
      <c r="N869" s="809"/>
      <c r="O869" s="809"/>
      <c r="P869" s="809"/>
      <c r="Q869" s="809"/>
      <c r="R869" s="675"/>
      <c r="S869" s="675"/>
      <c r="T869" s="675"/>
      <c r="U869" s="678"/>
      <c r="V869" s="679"/>
      <c r="W869" s="675"/>
      <c r="X869" s="675"/>
      <c r="Y869" s="675"/>
      <c r="Z869" s="675"/>
    </row>
    <row r="870">
      <c r="A870" s="675"/>
      <c r="B870" s="677"/>
      <c r="C870" s="807"/>
      <c r="D870" s="808"/>
      <c r="E870" s="693"/>
      <c r="F870" s="809"/>
      <c r="G870" s="809"/>
      <c r="H870" s="809"/>
      <c r="I870" s="809"/>
      <c r="J870" s="809"/>
      <c r="K870" s="809"/>
      <c r="L870" s="809"/>
      <c r="M870" s="809"/>
      <c r="N870" s="809"/>
      <c r="O870" s="809"/>
      <c r="P870" s="809"/>
      <c r="Q870" s="809"/>
      <c r="R870" s="675"/>
      <c r="S870" s="675"/>
      <c r="T870" s="675"/>
      <c r="U870" s="678"/>
      <c r="V870" s="679"/>
      <c r="W870" s="675"/>
      <c r="X870" s="675"/>
      <c r="Y870" s="675"/>
      <c r="Z870" s="675"/>
    </row>
    <row r="871">
      <c r="A871" s="675"/>
      <c r="B871" s="677"/>
      <c r="C871" s="807"/>
      <c r="D871" s="808"/>
      <c r="E871" s="693"/>
      <c r="F871" s="809"/>
      <c r="G871" s="809"/>
      <c r="H871" s="809"/>
      <c r="I871" s="809"/>
      <c r="J871" s="809"/>
      <c r="K871" s="809"/>
      <c r="L871" s="809"/>
      <c r="M871" s="809"/>
      <c r="N871" s="809"/>
      <c r="O871" s="809"/>
      <c r="P871" s="809"/>
      <c r="Q871" s="809"/>
      <c r="R871" s="675"/>
      <c r="S871" s="675"/>
      <c r="T871" s="675"/>
      <c r="U871" s="678"/>
      <c r="V871" s="679"/>
      <c r="W871" s="675"/>
      <c r="X871" s="675"/>
      <c r="Y871" s="675"/>
      <c r="Z871" s="675"/>
    </row>
    <row r="872">
      <c r="A872" s="675"/>
      <c r="B872" s="677"/>
      <c r="C872" s="807"/>
      <c r="D872" s="808"/>
      <c r="E872" s="693"/>
      <c r="F872" s="809"/>
      <c r="G872" s="809"/>
      <c r="H872" s="809"/>
      <c r="I872" s="809"/>
      <c r="J872" s="809"/>
      <c r="K872" s="809"/>
      <c r="L872" s="809"/>
      <c r="M872" s="809"/>
      <c r="N872" s="809"/>
      <c r="O872" s="809"/>
      <c r="P872" s="809"/>
      <c r="Q872" s="809"/>
      <c r="R872" s="675"/>
      <c r="S872" s="675"/>
      <c r="T872" s="675"/>
      <c r="U872" s="678"/>
      <c r="V872" s="679"/>
      <c r="W872" s="675"/>
      <c r="X872" s="675"/>
      <c r="Y872" s="675"/>
      <c r="Z872" s="675"/>
    </row>
    <row r="873">
      <c r="A873" s="675"/>
      <c r="B873" s="677"/>
      <c r="C873" s="807"/>
      <c r="D873" s="808"/>
      <c r="E873" s="693"/>
      <c r="F873" s="809"/>
      <c r="G873" s="809"/>
      <c r="H873" s="809"/>
      <c r="I873" s="809"/>
      <c r="J873" s="809"/>
      <c r="K873" s="809"/>
      <c r="L873" s="809"/>
      <c r="M873" s="809"/>
      <c r="N873" s="809"/>
      <c r="O873" s="809"/>
      <c r="P873" s="809"/>
      <c r="Q873" s="809"/>
      <c r="R873" s="675"/>
      <c r="S873" s="675"/>
      <c r="T873" s="675"/>
      <c r="U873" s="678"/>
      <c r="V873" s="679"/>
      <c r="W873" s="675"/>
      <c r="X873" s="675"/>
      <c r="Y873" s="675"/>
      <c r="Z873" s="675"/>
    </row>
    <row r="874">
      <c r="A874" s="675"/>
      <c r="B874" s="677"/>
      <c r="C874" s="807"/>
      <c r="D874" s="808"/>
      <c r="E874" s="693"/>
      <c r="F874" s="809"/>
      <c r="G874" s="809"/>
      <c r="H874" s="809"/>
      <c r="I874" s="809"/>
      <c r="J874" s="809"/>
      <c r="K874" s="809"/>
      <c r="L874" s="809"/>
      <c r="M874" s="809"/>
      <c r="N874" s="809"/>
      <c r="O874" s="809"/>
      <c r="P874" s="809"/>
      <c r="Q874" s="809"/>
      <c r="R874" s="675"/>
      <c r="S874" s="675"/>
      <c r="T874" s="675"/>
      <c r="U874" s="678"/>
      <c r="V874" s="679"/>
      <c r="W874" s="675"/>
      <c r="X874" s="675"/>
      <c r="Y874" s="675"/>
      <c r="Z874" s="675"/>
    </row>
    <row r="875">
      <c r="A875" s="675"/>
      <c r="B875" s="677"/>
      <c r="C875" s="807"/>
      <c r="D875" s="808"/>
      <c r="E875" s="693"/>
      <c r="F875" s="809"/>
      <c r="G875" s="809"/>
      <c r="H875" s="809"/>
      <c r="I875" s="809"/>
      <c r="J875" s="809"/>
      <c r="K875" s="809"/>
      <c r="L875" s="809"/>
      <c r="M875" s="809"/>
      <c r="N875" s="809"/>
      <c r="O875" s="809"/>
      <c r="P875" s="809"/>
      <c r="Q875" s="809"/>
      <c r="R875" s="675"/>
      <c r="S875" s="675"/>
      <c r="T875" s="675"/>
      <c r="U875" s="678"/>
      <c r="V875" s="679"/>
      <c r="W875" s="675"/>
      <c r="X875" s="675"/>
      <c r="Y875" s="675"/>
      <c r="Z875" s="675"/>
    </row>
    <row r="876">
      <c r="A876" s="675"/>
      <c r="B876" s="677"/>
      <c r="C876" s="807"/>
      <c r="D876" s="808"/>
      <c r="E876" s="693"/>
      <c r="F876" s="809"/>
      <c r="G876" s="809"/>
      <c r="H876" s="809"/>
      <c r="I876" s="809"/>
      <c r="J876" s="809"/>
      <c r="K876" s="809"/>
      <c r="L876" s="809"/>
      <c r="M876" s="809"/>
      <c r="N876" s="809"/>
      <c r="O876" s="809"/>
      <c r="P876" s="809"/>
      <c r="Q876" s="809"/>
      <c r="R876" s="675"/>
      <c r="S876" s="675"/>
      <c r="T876" s="675"/>
      <c r="U876" s="678"/>
      <c r="V876" s="679"/>
      <c r="W876" s="675"/>
      <c r="X876" s="675"/>
      <c r="Y876" s="675"/>
      <c r="Z876" s="675"/>
    </row>
    <row r="877">
      <c r="A877" s="675"/>
      <c r="B877" s="677"/>
      <c r="C877" s="807"/>
      <c r="D877" s="808"/>
      <c r="E877" s="693"/>
      <c r="F877" s="809"/>
      <c r="G877" s="809"/>
      <c r="H877" s="809"/>
      <c r="I877" s="809"/>
      <c r="J877" s="809"/>
      <c r="K877" s="809"/>
      <c r="L877" s="809"/>
      <c r="M877" s="809"/>
      <c r="N877" s="809"/>
      <c r="O877" s="809"/>
      <c r="P877" s="809"/>
      <c r="Q877" s="809"/>
      <c r="R877" s="675"/>
      <c r="S877" s="675"/>
      <c r="T877" s="675"/>
      <c r="U877" s="678"/>
      <c r="V877" s="679"/>
      <c r="W877" s="675"/>
      <c r="X877" s="675"/>
      <c r="Y877" s="675"/>
      <c r="Z877" s="675"/>
    </row>
    <row r="878">
      <c r="A878" s="675"/>
      <c r="B878" s="677"/>
      <c r="C878" s="807"/>
      <c r="D878" s="808"/>
      <c r="E878" s="693"/>
      <c r="F878" s="809"/>
      <c r="G878" s="809"/>
      <c r="H878" s="809"/>
      <c r="I878" s="809"/>
      <c r="J878" s="809"/>
      <c r="K878" s="809"/>
      <c r="L878" s="809"/>
      <c r="M878" s="809"/>
      <c r="N878" s="809"/>
      <c r="O878" s="809"/>
      <c r="P878" s="809"/>
      <c r="Q878" s="809"/>
      <c r="R878" s="675"/>
      <c r="S878" s="675"/>
      <c r="T878" s="675"/>
      <c r="U878" s="678"/>
      <c r="V878" s="679"/>
      <c r="W878" s="675"/>
      <c r="X878" s="675"/>
      <c r="Y878" s="675"/>
      <c r="Z878" s="675"/>
    </row>
    <row r="879">
      <c r="A879" s="675"/>
      <c r="B879" s="677"/>
      <c r="C879" s="807"/>
      <c r="D879" s="808"/>
      <c r="E879" s="693"/>
      <c r="F879" s="809"/>
      <c r="G879" s="809"/>
      <c r="H879" s="809"/>
      <c r="I879" s="809"/>
      <c r="J879" s="809"/>
      <c r="K879" s="809"/>
      <c r="L879" s="809"/>
      <c r="M879" s="809"/>
      <c r="N879" s="809"/>
      <c r="O879" s="809"/>
      <c r="P879" s="809"/>
      <c r="Q879" s="809"/>
      <c r="R879" s="675"/>
      <c r="S879" s="675"/>
      <c r="T879" s="675"/>
      <c r="U879" s="678"/>
      <c r="V879" s="679"/>
      <c r="W879" s="675"/>
      <c r="X879" s="675"/>
      <c r="Y879" s="675"/>
      <c r="Z879" s="675"/>
    </row>
    <row r="880">
      <c r="A880" s="675"/>
      <c r="B880" s="677"/>
      <c r="C880" s="807"/>
      <c r="D880" s="808"/>
      <c r="E880" s="693"/>
      <c r="F880" s="809"/>
      <c r="G880" s="809"/>
      <c r="H880" s="809"/>
      <c r="I880" s="809"/>
      <c r="J880" s="809"/>
      <c r="K880" s="809"/>
      <c r="L880" s="809"/>
      <c r="M880" s="809"/>
      <c r="N880" s="809"/>
      <c r="O880" s="809"/>
      <c r="P880" s="809"/>
      <c r="Q880" s="809"/>
      <c r="R880" s="675"/>
      <c r="S880" s="675"/>
      <c r="T880" s="675"/>
      <c r="U880" s="678"/>
      <c r="V880" s="679"/>
      <c r="W880" s="675"/>
      <c r="X880" s="675"/>
      <c r="Y880" s="675"/>
      <c r="Z880" s="675"/>
    </row>
    <row r="881">
      <c r="A881" s="675"/>
      <c r="B881" s="677"/>
      <c r="C881" s="807"/>
      <c r="D881" s="808"/>
      <c r="E881" s="693"/>
      <c r="F881" s="809"/>
      <c r="G881" s="809"/>
      <c r="H881" s="809"/>
      <c r="I881" s="809"/>
      <c r="J881" s="809"/>
      <c r="K881" s="809"/>
      <c r="L881" s="809"/>
      <c r="M881" s="809"/>
      <c r="N881" s="809"/>
      <c r="O881" s="809"/>
      <c r="P881" s="809"/>
      <c r="Q881" s="809"/>
      <c r="R881" s="675"/>
      <c r="S881" s="675"/>
      <c r="T881" s="675"/>
      <c r="U881" s="678"/>
      <c r="V881" s="679"/>
      <c r="W881" s="675"/>
      <c r="X881" s="675"/>
      <c r="Y881" s="675"/>
      <c r="Z881" s="675"/>
    </row>
    <row r="882">
      <c r="A882" s="675"/>
      <c r="B882" s="677"/>
      <c r="C882" s="807"/>
      <c r="D882" s="808"/>
      <c r="E882" s="693"/>
      <c r="F882" s="809"/>
      <c r="G882" s="809"/>
      <c r="H882" s="809"/>
      <c r="I882" s="809"/>
      <c r="J882" s="809"/>
      <c r="K882" s="809"/>
      <c r="L882" s="809"/>
      <c r="M882" s="809"/>
      <c r="N882" s="809"/>
      <c r="O882" s="809"/>
      <c r="P882" s="809"/>
      <c r="Q882" s="809"/>
      <c r="R882" s="675"/>
      <c r="S882" s="675"/>
      <c r="T882" s="675"/>
      <c r="U882" s="678"/>
      <c r="V882" s="679"/>
      <c r="W882" s="675"/>
      <c r="X882" s="675"/>
      <c r="Y882" s="675"/>
      <c r="Z882" s="675"/>
    </row>
    <row r="883">
      <c r="A883" s="675"/>
      <c r="B883" s="677"/>
      <c r="C883" s="807"/>
      <c r="D883" s="808"/>
      <c r="E883" s="693"/>
      <c r="F883" s="809"/>
      <c r="G883" s="809"/>
      <c r="H883" s="809"/>
      <c r="I883" s="809"/>
      <c r="J883" s="809"/>
      <c r="K883" s="809"/>
      <c r="L883" s="809"/>
      <c r="M883" s="809"/>
      <c r="N883" s="809"/>
      <c r="O883" s="809"/>
      <c r="P883" s="809"/>
      <c r="Q883" s="809"/>
      <c r="R883" s="675"/>
      <c r="S883" s="675"/>
      <c r="T883" s="675"/>
      <c r="U883" s="678"/>
      <c r="V883" s="679"/>
      <c r="W883" s="675"/>
      <c r="X883" s="675"/>
      <c r="Y883" s="675"/>
      <c r="Z883" s="675"/>
    </row>
    <row r="884">
      <c r="A884" s="675"/>
      <c r="B884" s="677"/>
      <c r="C884" s="807"/>
      <c r="D884" s="808"/>
      <c r="E884" s="693"/>
      <c r="F884" s="809"/>
      <c r="G884" s="809"/>
      <c r="H884" s="809"/>
      <c r="I884" s="809"/>
      <c r="J884" s="809"/>
      <c r="K884" s="809"/>
      <c r="L884" s="809"/>
      <c r="M884" s="809"/>
      <c r="N884" s="809"/>
      <c r="O884" s="809"/>
      <c r="P884" s="809"/>
      <c r="Q884" s="809"/>
      <c r="R884" s="675"/>
      <c r="S884" s="675"/>
      <c r="T884" s="675"/>
      <c r="U884" s="678"/>
      <c r="V884" s="679"/>
      <c r="W884" s="675"/>
      <c r="X884" s="675"/>
      <c r="Y884" s="675"/>
      <c r="Z884" s="675"/>
    </row>
    <row r="885">
      <c r="A885" s="675"/>
      <c r="B885" s="677"/>
      <c r="C885" s="807"/>
      <c r="D885" s="808"/>
      <c r="E885" s="693"/>
      <c r="F885" s="809"/>
      <c r="G885" s="809"/>
      <c r="H885" s="809"/>
      <c r="I885" s="809"/>
      <c r="J885" s="809"/>
      <c r="K885" s="809"/>
      <c r="L885" s="809"/>
      <c r="M885" s="809"/>
      <c r="N885" s="809"/>
      <c r="O885" s="809"/>
      <c r="P885" s="809"/>
      <c r="Q885" s="809"/>
      <c r="R885" s="675"/>
      <c r="S885" s="675"/>
      <c r="T885" s="675"/>
      <c r="U885" s="678"/>
      <c r="V885" s="679"/>
      <c r="W885" s="675"/>
      <c r="X885" s="675"/>
      <c r="Y885" s="675"/>
      <c r="Z885" s="675"/>
    </row>
    <row r="886">
      <c r="A886" s="675"/>
      <c r="B886" s="677"/>
      <c r="C886" s="807"/>
      <c r="D886" s="808"/>
      <c r="E886" s="693"/>
      <c r="F886" s="809"/>
      <c r="G886" s="809"/>
      <c r="H886" s="809"/>
      <c r="I886" s="809"/>
      <c r="J886" s="809"/>
      <c r="K886" s="809"/>
      <c r="L886" s="809"/>
      <c r="M886" s="809"/>
      <c r="N886" s="809"/>
      <c r="O886" s="809"/>
      <c r="P886" s="809"/>
      <c r="Q886" s="809"/>
      <c r="R886" s="675"/>
      <c r="S886" s="675"/>
      <c r="T886" s="675"/>
      <c r="U886" s="678"/>
      <c r="V886" s="679"/>
      <c r="W886" s="675"/>
      <c r="X886" s="675"/>
      <c r="Y886" s="675"/>
      <c r="Z886" s="675"/>
    </row>
    <row r="887">
      <c r="A887" s="675"/>
      <c r="B887" s="677"/>
      <c r="C887" s="807"/>
      <c r="D887" s="808"/>
      <c r="E887" s="693"/>
      <c r="F887" s="809"/>
      <c r="G887" s="809"/>
      <c r="H887" s="809"/>
      <c r="I887" s="809"/>
      <c r="J887" s="809"/>
      <c r="K887" s="809"/>
      <c r="L887" s="809"/>
      <c r="M887" s="809"/>
      <c r="N887" s="809"/>
      <c r="O887" s="809"/>
      <c r="P887" s="809"/>
      <c r="Q887" s="809"/>
      <c r="R887" s="675"/>
      <c r="S887" s="675"/>
      <c r="T887" s="675"/>
      <c r="U887" s="678"/>
      <c r="V887" s="679"/>
      <c r="W887" s="675"/>
      <c r="X887" s="675"/>
      <c r="Y887" s="675"/>
      <c r="Z887" s="675"/>
    </row>
    <row r="888">
      <c r="A888" s="675"/>
      <c r="B888" s="677"/>
      <c r="C888" s="807"/>
      <c r="D888" s="808"/>
      <c r="E888" s="693"/>
      <c r="F888" s="809"/>
      <c r="G888" s="809"/>
      <c r="H888" s="809"/>
      <c r="I888" s="809"/>
      <c r="J888" s="809"/>
      <c r="K888" s="809"/>
      <c r="L888" s="809"/>
      <c r="M888" s="809"/>
      <c r="N888" s="809"/>
      <c r="O888" s="809"/>
      <c r="P888" s="809"/>
      <c r="Q888" s="809"/>
      <c r="R888" s="675"/>
      <c r="S888" s="675"/>
      <c r="T888" s="675"/>
      <c r="U888" s="678"/>
      <c r="V888" s="679"/>
      <c r="W888" s="675"/>
      <c r="X888" s="675"/>
      <c r="Y888" s="675"/>
      <c r="Z888" s="675"/>
    </row>
    <row r="889">
      <c r="A889" s="675"/>
      <c r="B889" s="677"/>
      <c r="C889" s="807"/>
      <c r="D889" s="808"/>
      <c r="E889" s="693"/>
      <c r="F889" s="809"/>
      <c r="G889" s="809"/>
      <c r="H889" s="809"/>
      <c r="I889" s="809"/>
      <c r="J889" s="809"/>
      <c r="K889" s="809"/>
      <c r="L889" s="809"/>
      <c r="M889" s="809"/>
      <c r="N889" s="809"/>
      <c r="O889" s="809"/>
      <c r="P889" s="809"/>
      <c r="Q889" s="809"/>
      <c r="R889" s="675"/>
      <c r="S889" s="675"/>
      <c r="T889" s="675"/>
      <c r="U889" s="678"/>
      <c r="V889" s="679"/>
      <c r="W889" s="675"/>
      <c r="X889" s="675"/>
      <c r="Y889" s="675"/>
      <c r="Z889" s="675"/>
    </row>
    <row r="890">
      <c r="A890" s="675"/>
      <c r="B890" s="677"/>
      <c r="C890" s="807"/>
      <c r="D890" s="808"/>
      <c r="E890" s="693"/>
      <c r="F890" s="809"/>
      <c r="G890" s="809"/>
      <c r="H890" s="809"/>
      <c r="I890" s="809"/>
      <c r="J890" s="809"/>
      <c r="K890" s="809"/>
      <c r="L890" s="809"/>
      <c r="M890" s="809"/>
      <c r="N890" s="809"/>
      <c r="O890" s="809"/>
      <c r="P890" s="809"/>
      <c r="Q890" s="809"/>
      <c r="R890" s="675"/>
      <c r="S890" s="675"/>
      <c r="T890" s="675"/>
      <c r="U890" s="678"/>
      <c r="V890" s="679"/>
      <c r="W890" s="675"/>
      <c r="X890" s="675"/>
      <c r="Y890" s="675"/>
      <c r="Z890" s="675"/>
    </row>
    <row r="891">
      <c r="A891" s="675"/>
      <c r="B891" s="677"/>
      <c r="C891" s="807"/>
      <c r="D891" s="808"/>
      <c r="E891" s="693"/>
      <c r="F891" s="809"/>
      <c r="G891" s="809"/>
      <c r="H891" s="809"/>
      <c r="I891" s="809"/>
      <c r="J891" s="809"/>
      <c r="K891" s="809"/>
      <c r="L891" s="809"/>
      <c r="M891" s="809"/>
      <c r="N891" s="809"/>
      <c r="O891" s="809"/>
      <c r="P891" s="809"/>
      <c r="Q891" s="809"/>
      <c r="R891" s="675"/>
      <c r="S891" s="675"/>
      <c r="T891" s="675"/>
      <c r="U891" s="678"/>
      <c r="V891" s="679"/>
      <c r="W891" s="675"/>
      <c r="X891" s="675"/>
      <c r="Y891" s="675"/>
      <c r="Z891" s="675"/>
    </row>
    <row r="892">
      <c r="A892" s="675"/>
      <c r="B892" s="677"/>
      <c r="C892" s="807"/>
      <c r="D892" s="808"/>
      <c r="E892" s="693"/>
      <c r="F892" s="809"/>
      <c r="G892" s="809"/>
      <c r="H892" s="809"/>
      <c r="I892" s="809"/>
      <c r="J892" s="809"/>
      <c r="K892" s="809"/>
      <c r="L892" s="809"/>
      <c r="M892" s="809"/>
      <c r="N892" s="809"/>
      <c r="O892" s="809"/>
      <c r="P892" s="809"/>
      <c r="Q892" s="809"/>
      <c r="R892" s="675"/>
      <c r="S892" s="675"/>
      <c r="T892" s="675"/>
      <c r="U892" s="678"/>
      <c r="V892" s="679"/>
      <c r="W892" s="675"/>
      <c r="X892" s="675"/>
      <c r="Y892" s="675"/>
      <c r="Z892" s="675"/>
    </row>
    <row r="893">
      <c r="A893" s="675"/>
      <c r="B893" s="677"/>
      <c r="C893" s="807"/>
      <c r="D893" s="808"/>
      <c r="E893" s="693"/>
      <c r="F893" s="809"/>
      <c r="G893" s="809"/>
      <c r="H893" s="809"/>
      <c r="I893" s="809"/>
      <c r="J893" s="809"/>
      <c r="K893" s="809"/>
      <c r="L893" s="809"/>
      <c r="M893" s="809"/>
      <c r="N893" s="809"/>
      <c r="O893" s="809"/>
      <c r="P893" s="809"/>
      <c r="Q893" s="809"/>
      <c r="R893" s="675"/>
      <c r="S893" s="675"/>
      <c r="T893" s="675"/>
      <c r="U893" s="678"/>
      <c r="V893" s="679"/>
      <c r="W893" s="675"/>
      <c r="X893" s="675"/>
      <c r="Y893" s="675"/>
      <c r="Z893" s="675"/>
    </row>
    <row r="894">
      <c r="A894" s="675"/>
      <c r="B894" s="677"/>
      <c r="C894" s="807"/>
      <c r="D894" s="808"/>
      <c r="E894" s="693"/>
      <c r="F894" s="809"/>
      <c r="G894" s="809"/>
      <c r="H894" s="809"/>
      <c r="I894" s="809"/>
      <c r="J894" s="809"/>
      <c r="K894" s="809"/>
      <c r="L894" s="809"/>
      <c r="M894" s="809"/>
      <c r="N894" s="809"/>
      <c r="O894" s="809"/>
      <c r="P894" s="809"/>
      <c r="Q894" s="809"/>
      <c r="R894" s="675"/>
      <c r="S894" s="675"/>
      <c r="T894" s="675"/>
      <c r="U894" s="678"/>
      <c r="V894" s="679"/>
      <c r="W894" s="675"/>
      <c r="X894" s="675"/>
      <c r="Y894" s="675"/>
      <c r="Z894" s="675"/>
    </row>
    <row r="895">
      <c r="A895" s="675"/>
      <c r="B895" s="677"/>
      <c r="C895" s="807"/>
      <c r="D895" s="808"/>
      <c r="E895" s="693"/>
      <c r="F895" s="809"/>
      <c r="G895" s="809"/>
      <c r="H895" s="809"/>
      <c r="I895" s="809"/>
      <c r="J895" s="809"/>
      <c r="K895" s="809"/>
      <c r="L895" s="809"/>
      <c r="M895" s="809"/>
      <c r="N895" s="809"/>
      <c r="O895" s="809"/>
      <c r="P895" s="809"/>
      <c r="Q895" s="809"/>
      <c r="R895" s="675"/>
      <c r="S895" s="675"/>
      <c r="T895" s="675"/>
      <c r="U895" s="678"/>
      <c r="V895" s="679"/>
      <c r="W895" s="675"/>
      <c r="X895" s="675"/>
      <c r="Y895" s="675"/>
      <c r="Z895" s="675"/>
    </row>
    <row r="896">
      <c r="A896" s="675"/>
      <c r="B896" s="677"/>
      <c r="C896" s="807"/>
      <c r="D896" s="808"/>
      <c r="E896" s="693"/>
      <c r="F896" s="809"/>
      <c r="G896" s="809"/>
      <c r="H896" s="809"/>
      <c r="I896" s="809"/>
      <c r="J896" s="809"/>
      <c r="K896" s="809"/>
      <c r="L896" s="809"/>
      <c r="M896" s="809"/>
      <c r="N896" s="809"/>
      <c r="O896" s="809"/>
      <c r="P896" s="809"/>
      <c r="Q896" s="809"/>
      <c r="R896" s="675"/>
      <c r="S896" s="675"/>
      <c r="T896" s="675"/>
      <c r="U896" s="678"/>
      <c r="V896" s="679"/>
      <c r="W896" s="675"/>
      <c r="X896" s="675"/>
      <c r="Y896" s="675"/>
      <c r="Z896" s="675"/>
    </row>
    <row r="897">
      <c r="A897" s="675"/>
      <c r="B897" s="677"/>
      <c r="C897" s="807"/>
      <c r="D897" s="808"/>
      <c r="E897" s="693"/>
      <c r="F897" s="809"/>
      <c r="G897" s="809"/>
      <c r="H897" s="809"/>
      <c r="I897" s="809"/>
      <c r="J897" s="809"/>
      <c r="K897" s="809"/>
      <c r="L897" s="809"/>
      <c r="M897" s="809"/>
      <c r="N897" s="809"/>
      <c r="O897" s="809"/>
      <c r="P897" s="809"/>
      <c r="Q897" s="809"/>
      <c r="R897" s="675"/>
      <c r="S897" s="675"/>
      <c r="T897" s="675"/>
      <c r="U897" s="678"/>
      <c r="V897" s="679"/>
      <c r="W897" s="675"/>
      <c r="X897" s="675"/>
      <c r="Y897" s="675"/>
      <c r="Z897" s="675"/>
    </row>
    <row r="898">
      <c r="A898" s="675"/>
      <c r="B898" s="677"/>
      <c r="C898" s="807"/>
      <c r="D898" s="808"/>
      <c r="E898" s="693"/>
      <c r="F898" s="809"/>
      <c r="G898" s="809"/>
      <c r="H898" s="809"/>
      <c r="I898" s="809"/>
      <c r="J898" s="809"/>
      <c r="K898" s="809"/>
      <c r="L898" s="809"/>
      <c r="M898" s="809"/>
      <c r="N898" s="809"/>
      <c r="O898" s="809"/>
      <c r="P898" s="809"/>
      <c r="Q898" s="809"/>
      <c r="R898" s="675"/>
      <c r="S898" s="675"/>
      <c r="T898" s="675"/>
      <c r="U898" s="678"/>
      <c r="V898" s="679"/>
      <c r="W898" s="675"/>
      <c r="X898" s="675"/>
      <c r="Y898" s="675"/>
      <c r="Z898" s="675"/>
    </row>
    <row r="899">
      <c r="A899" s="675"/>
      <c r="B899" s="677"/>
      <c r="C899" s="807"/>
      <c r="D899" s="808"/>
      <c r="E899" s="693"/>
      <c r="F899" s="809"/>
      <c r="G899" s="809"/>
      <c r="H899" s="809"/>
      <c r="I899" s="809"/>
      <c r="J899" s="809"/>
      <c r="K899" s="809"/>
      <c r="L899" s="809"/>
      <c r="M899" s="809"/>
      <c r="N899" s="809"/>
      <c r="O899" s="809"/>
      <c r="P899" s="809"/>
      <c r="Q899" s="809"/>
      <c r="R899" s="675"/>
      <c r="S899" s="675"/>
      <c r="T899" s="675"/>
      <c r="U899" s="678"/>
      <c r="V899" s="679"/>
      <c r="W899" s="675"/>
      <c r="X899" s="675"/>
      <c r="Y899" s="675"/>
      <c r="Z899" s="675"/>
    </row>
    <row r="900">
      <c r="A900" s="675"/>
      <c r="B900" s="677"/>
      <c r="C900" s="807"/>
      <c r="D900" s="808"/>
      <c r="E900" s="693"/>
      <c r="F900" s="809"/>
      <c r="G900" s="809"/>
      <c r="H900" s="809"/>
      <c r="I900" s="809"/>
      <c r="J900" s="809"/>
      <c r="K900" s="809"/>
      <c r="L900" s="809"/>
      <c r="M900" s="809"/>
      <c r="N900" s="809"/>
      <c r="O900" s="809"/>
      <c r="P900" s="809"/>
      <c r="Q900" s="809"/>
      <c r="R900" s="675"/>
      <c r="S900" s="675"/>
      <c r="T900" s="675"/>
      <c r="U900" s="678"/>
      <c r="V900" s="679"/>
      <c r="W900" s="675"/>
      <c r="X900" s="675"/>
      <c r="Y900" s="675"/>
      <c r="Z900" s="675"/>
    </row>
    <row r="901">
      <c r="A901" s="675"/>
      <c r="B901" s="677"/>
      <c r="C901" s="807"/>
      <c r="D901" s="808"/>
      <c r="E901" s="693"/>
      <c r="F901" s="809"/>
      <c r="G901" s="809"/>
      <c r="H901" s="809"/>
      <c r="I901" s="809"/>
      <c r="J901" s="809"/>
      <c r="K901" s="809"/>
      <c r="L901" s="809"/>
      <c r="M901" s="809"/>
      <c r="N901" s="809"/>
      <c r="O901" s="809"/>
      <c r="P901" s="809"/>
      <c r="Q901" s="809"/>
      <c r="R901" s="675"/>
      <c r="S901" s="675"/>
      <c r="T901" s="675"/>
      <c r="U901" s="678"/>
      <c r="V901" s="679"/>
      <c r="W901" s="675"/>
      <c r="X901" s="675"/>
      <c r="Y901" s="675"/>
      <c r="Z901" s="675"/>
    </row>
    <row r="902">
      <c r="A902" s="675"/>
      <c r="B902" s="677"/>
      <c r="C902" s="807"/>
      <c r="D902" s="808"/>
      <c r="E902" s="693"/>
      <c r="F902" s="809"/>
      <c r="G902" s="809"/>
      <c r="H902" s="809"/>
      <c r="I902" s="809"/>
      <c r="J902" s="809"/>
      <c r="K902" s="809"/>
      <c r="L902" s="809"/>
      <c r="M902" s="809"/>
      <c r="N902" s="809"/>
      <c r="O902" s="809"/>
      <c r="P902" s="809"/>
      <c r="Q902" s="809"/>
      <c r="R902" s="675"/>
      <c r="S902" s="675"/>
      <c r="T902" s="675"/>
      <c r="U902" s="678"/>
      <c r="V902" s="679"/>
      <c r="W902" s="675"/>
      <c r="X902" s="675"/>
      <c r="Y902" s="675"/>
      <c r="Z902" s="675"/>
    </row>
    <row r="903">
      <c r="A903" s="675"/>
      <c r="B903" s="677"/>
      <c r="C903" s="807"/>
      <c r="D903" s="808"/>
      <c r="E903" s="693"/>
      <c r="F903" s="809"/>
      <c r="G903" s="809"/>
      <c r="H903" s="809"/>
      <c r="I903" s="809"/>
      <c r="J903" s="809"/>
      <c r="K903" s="809"/>
      <c r="L903" s="809"/>
      <c r="M903" s="809"/>
      <c r="N903" s="809"/>
      <c r="O903" s="809"/>
      <c r="P903" s="809"/>
      <c r="Q903" s="809"/>
      <c r="R903" s="675"/>
      <c r="S903" s="675"/>
      <c r="T903" s="675"/>
      <c r="U903" s="678"/>
      <c r="V903" s="679"/>
      <c r="W903" s="675"/>
      <c r="X903" s="675"/>
      <c r="Y903" s="675"/>
      <c r="Z903" s="675"/>
    </row>
    <row r="904">
      <c r="A904" s="675"/>
      <c r="B904" s="677"/>
      <c r="C904" s="807"/>
      <c r="D904" s="808"/>
      <c r="E904" s="693"/>
      <c r="F904" s="809"/>
      <c r="G904" s="809"/>
      <c r="H904" s="809"/>
      <c r="I904" s="809"/>
      <c r="J904" s="809"/>
      <c r="K904" s="809"/>
      <c r="L904" s="809"/>
      <c r="M904" s="809"/>
      <c r="N904" s="809"/>
      <c r="O904" s="809"/>
      <c r="P904" s="809"/>
      <c r="Q904" s="809"/>
      <c r="R904" s="675"/>
      <c r="S904" s="675"/>
      <c r="T904" s="675"/>
      <c r="U904" s="678"/>
      <c r="V904" s="679"/>
      <c r="W904" s="675"/>
      <c r="X904" s="675"/>
      <c r="Y904" s="675"/>
      <c r="Z904" s="675"/>
    </row>
    <row r="905">
      <c r="A905" s="675"/>
      <c r="B905" s="677"/>
      <c r="C905" s="807"/>
      <c r="D905" s="808"/>
      <c r="E905" s="693"/>
      <c r="F905" s="809"/>
      <c r="G905" s="809"/>
      <c r="H905" s="809"/>
      <c r="I905" s="809"/>
      <c r="J905" s="809"/>
      <c r="K905" s="809"/>
      <c r="L905" s="809"/>
      <c r="M905" s="809"/>
      <c r="N905" s="809"/>
      <c r="O905" s="809"/>
      <c r="P905" s="809"/>
      <c r="Q905" s="809"/>
      <c r="R905" s="675"/>
      <c r="S905" s="675"/>
      <c r="T905" s="675"/>
      <c r="U905" s="678"/>
      <c r="V905" s="679"/>
      <c r="W905" s="675"/>
      <c r="X905" s="675"/>
      <c r="Y905" s="675"/>
      <c r="Z905" s="675"/>
    </row>
    <row r="906">
      <c r="A906" s="675"/>
      <c r="B906" s="677"/>
      <c r="C906" s="807"/>
      <c r="D906" s="808"/>
      <c r="E906" s="693"/>
      <c r="F906" s="809"/>
      <c r="G906" s="809"/>
      <c r="H906" s="809"/>
      <c r="I906" s="809"/>
      <c r="J906" s="809"/>
      <c r="K906" s="809"/>
      <c r="L906" s="809"/>
      <c r="M906" s="809"/>
      <c r="N906" s="809"/>
      <c r="O906" s="809"/>
      <c r="P906" s="809"/>
      <c r="Q906" s="809"/>
      <c r="R906" s="675"/>
      <c r="S906" s="675"/>
      <c r="T906" s="675"/>
      <c r="U906" s="678"/>
      <c r="V906" s="679"/>
      <c r="W906" s="675"/>
      <c r="X906" s="675"/>
      <c r="Y906" s="675"/>
      <c r="Z906" s="675"/>
    </row>
    <row r="907">
      <c r="A907" s="675"/>
      <c r="B907" s="677"/>
      <c r="C907" s="807"/>
      <c r="D907" s="808"/>
      <c r="E907" s="693"/>
      <c r="F907" s="809"/>
      <c r="G907" s="809"/>
      <c r="H907" s="809"/>
      <c r="I907" s="809"/>
      <c r="J907" s="809"/>
      <c r="K907" s="809"/>
      <c r="L907" s="809"/>
      <c r="M907" s="809"/>
      <c r="N907" s="809"/>
      <c r="O907" s="809"/>
      <c r="P907" s="809"/>
      <c r="Q907" s="809"/>
      <c r="R907" s="675"/>
      <c r="S907" s="675"/>
      <c r="T907" s="675"/>
      <c r="U907" s="678"/>
      <c r="V907" s="679"/>
      <c r="W907" s="675"/>
      <c r="X907" s="675"/>
      <c r="Y907" s="675"/>
      <c r="Z907" s="675"/>
    </row>
    <row r="908">
      <c r="A908" s="675"/>
      <c r="B908" s="677"/>
      <c r="C908" s="807"/>
      <c r="D908" s="808"/>
      <c r="E908" s="693"/>
      <c r="F908" s="809"/>
      <c r="G908" s="809"/>
      <c r="H908" s="809"/>
      <c r="I908" s="809"/>
      <c r="J908" s="809"/>
      <c r="K908" s="809"/>
      <c r="L908" s="809"/>
      <c r="M908" s="809"/>
      <c r="N908" s="809"/>
      <c r="O908" s="809"/>
      <c r="P908" s="809"/>
      <c r="Q908" s="809"/>
      <c r="R908" s="675"/>
      <c r="S908" s="675"/>
      <c r="T908" s="675"/>
      <c r="U908" s="678"/>
      <c r="V908" s="679"/>
      <c r="W908" s="675"/>
      <c r="X908" s="675"/>
      <c r="Y908" s="675"/>
      <c r="Z908" s="675"/>
    </row>
    <row r="909">
      <c r="A909" s="675"/>
      <c r="B909" s="677"/>
      <c r="C909" s="807"/>
      <c r="D909" s="808"/>
      <c r="E909" s="693"/>
      <c r="F909" s="809"/>
      <c r="G909" s="809"/>
      <c r="H909" s="809"/>
      <c r="I909" s="809"/>
      <c r="J909" s="809"/>
      <c r="K909" s="809"/>
      <c r="L909" s="809"/>
      <c r="M909" s="809"/>
      <c r="N909" s="809"/>
      <c r="O909" s="809"/>
      <c r="P909" s="809"/>
      <c r="Q909" s="809"/>
      <c r="R909" s="675"/>
      <c r="S909" s="675"/>
      <c r="T909" s="675"/>
      <c r="U909" s="678"/>
      <c r="V909" s="679"/>
      <c r="W909" s="675"/>
      <c r="X909" s="675"/>
      <c r="Y909" s="675"/>
      <c r="Z909" s="675"/>
    </row>
    <row r="910">
      <c r="A910" s="675"/>
      <c r="B910" s="677"/>
      <c r="C910" s="807"/>
      <c r="D910" s="808"/>
      <c r="E910" s="693"/>
      <c r="F910" s="809"/>
      <c r="G910" s="809"/>
      <c r="H910" s="809"/>
      <c r="I910" s="809"/>
      <c r="J910" s="809"/>
      <c r="K910" s="809"/>
      <c r="L910" s="809"/>
      <c r="M910" s="809"/>
      <c r="N910" s="809"/>
      <c r="O910" s="809"/>
      <c r="P910" s="809"/>
      <c r="Q910" s="809"/>
      <c r="R910" s="675"/>
      <c r="S910" s="675"/>
      <c r="T910" s="675"/>
      <c r="U910" s="678"/>
      <c r="V910" s="679"/>
      <c r="W910" s="675"/>
      <c r="X910" s="675"/>
      <c r="Y910" s="675"/>
      <c r="Z910" s="675"/>
    </row>
    <row r="911">
      <c r="A911" s="675"/>
      <c r="B911" s="677"/>
      <c r="C911" s="807"/>
      <c r="D911" s="808"/>
      <c r="E911" s="693"/>
      <c r="F911" s="809"/>
      <c r="G911" s="809"/>
      <c r="H911" s="809"/>
      <c r="I911" s="809"/>
      <c r="J911" s="809"/>
      <c r="K911" s="809"/>
      <c r="L911" s="809"/>
      <c r="M911" s="809"/>
      <c r="N911" s="809"/>
      <c r="O911" s="809"/>
      <c r="P911" s="809"/>
      <c r="Q911" s="809"/>
      <c r="R911" s="675"/>
      <c r="S911" s="675"/>
      <c r="T911" s="675"/>
      <c r="U911" s="678"/>
      <c r="V911" s="679"/>
      <c r="W911" s="675"/>
      <c r="X911" s="675"/>
      <c r="Y911" s="675"/>
      <c r="Z911" s="675"/>
    </row>
    <row r="912">
      <c r="A912" s="675"/>
      <c r="B912" s="677"/>
      <c r="C912" s="807"/>
      <c r="D912" s="808"/>
      <c r="E912" s="693"/>
      <c r="F912" s="809"/>
      <c r="G912" s="809"/>
      <c r="H912" s="809"/>
      <c r="I912" s="809"/>
      <c r="J912" s="809"/>
      <c r="K912" s="809"/>
      <c r="L912" s="809"/>
      <c r="M912" s="809"/>
      <c r="N912" s="809"/>
      <c r="O912" s="809"/>
      <c r="P912" s="809"/>
      <c r="Q912" s="809"/>
      <c r="R912" s="675"/>
      <c r="S912" s="675"/>
      <c r="T912" s="675"/>
      <c r="U912" s="678"/>
      <c r="V912" s="679"/>
      <c r="W912" s="675"/>
      <c r="X912" s="675"/>
      <c r="Y912" s="675"/>
      <c r="Z912" s="675"/>
    </row>
    <row r="913">
      <c r="A913" s="675"/>
      <c r="B913" s="677"/>
      <c r="C913" s="807"/>
      <c r="D913" s="808"/>
      <c r="E913" s="693"/>
      <c r="F913" s="809"/>
      <c r="G913" s="809"/>
      <c r="H913" s="809"/>
      <c r="I913" s="809"/>
      <c r="J913" s="809"/>
      <c r="K913" s="809"/>
      <c r="L913" s="809"/>
      <c r="M913" s="809"/>
      <c r="N913" s="809"/>
      <c r="O913" s="809"/>
      <c r="P913" s="809"/>
      <c r="Q913" s="809"/>
      <c r="R913" s="675"/>
      <c r="S913" s="675"/>
      <c r="T913" s="675"/>
      <c r="U913" s="678"/>
      <c r="V913" s="679"/>
      <c r="W913" s="675"/>
      <c r="X913" s="675"/>
      <c r="Y913" s="675"/>
      <c r="Z913" s="675"/>
    </row>
    <row r="914">
      <c r="A914" s="675"/>
      <c r="B914" s="677"/>
      <c r="C914" s="807"/>
      <c r="D914" s="808"/>
      <c r="E914" s="693"/>
      <c r="F914" s="809"/>
      <c r="G914" s="809"/>
      <c r="H914" s="809"/>
      <c r="I914" s="809"/>
      <c r="J914" s="809"/>
      <c r="K914" s="809"/>
      <c r="L914" s="809"/>
      <c r="M914" s="809"/>
      <c r="N914" s="809"/>
      <c r="O914" s="809"/>
      <c r="P914" s="809"/>
      <c r="Q914" s="809"/>
      <c r="R914" s="675"/>
      <c r="S914" s="675"/>
      <c r="T914" s="675"/>
      <c r="U914" s="678"/>
      <c r="V914" s="679"/>
      <c r="W914" s="675"/>
      <c r="X914" s="675"/>
      <c r="Y914" s="675"/>
      <c r="Z914" s="675"/>
    </row>
    <row r="915">
      <c r="A915" s="675"/>
      <c r="B915" s="677"/>
      <c r="C915" s="807"/>
      <c r="D915" s="808"/>
      <c r="E915" s="693"/>
      <c r="F915" s="809"/>
      <c r="G915" s="809"/>
      <c r="H915" s="809"/>
      <c r="I915" s="809"/>
      <c r="J915" s="809"/>
      <c r="K915" s="809"/>
      <c r="L915" s="809"/>
      <c r="M915" s="809"/>
      <c r="N915" s="809"/>
      <c r="O915" s="809"/>
      <c r="P915" s="809"/>
      <c r="Q915" s="809"/>
      <c r="R915" s="675"/>
      <c r="S915" s="675"/>
      <c r="T915" s="675"/>
      <c r="U915" s="678"/>
      <c r="V915" s="679"/>
      <c r="W915" s="675"/>
      <c r="X915" s="675"/>
      <c r="Y915" s="675"/>
      <c r="Z915" s="675"/>
    </row>
    <row r="916">
      <c r="A916" s="675"/>
      <c r="B916" s="677"/>
      <c r="C916" s="807"/>
      <c r="D916" s="808"/>
      <c r="E916" s="693"/>
      <c r="F916" s="809"/>
      <c r="G916" s="809"/>
      <c r="H916" s="809"/>
      <c r="I916" s="809"/>
      <c r="J916" s="809"/>
      <c r="K916" s="809"/>
      <c r="L916" s="809"/>
      <c r="M916" s="809"/>
      <c r="N916" s="809"/>
      <c r="O916" s="809"/>
      <c r="P916" s="809"/>
      <c r="Q916" s="809"/>
      <c r="R916" s="675"/>
      <c r="S916" s="675"/>
      <c r="T916" s="675"/>
      <c r="U916" s="678"/>
      <c r="V916" s="679"/>
      <c r="W916" s="675"/>
      <c r="X916" s="675"/>
      <c r="Y916" s="675"/>
      <c r="Z916" s="675"/>
    </row>
    <row r="917">
      <c r="A917" s="675"/>
      <c r="B917" s="677"/>
      <c r="C917" s="807"/>
      <c r="D917" s="808"/>
      <c r="E917" s="693"/>
      <c r="F917" s="809"/>
      <c r="G917" s="809"/>
      <c r="H917" s="809"/>
      <c r="I917" s="809"/>
      <c r="J917" s="809"/>
      <c r="K917" s="809"/>
      <c r="L917" s="809"/>
      <c r="M917" s="809"/>
      <c r="N917" s="809"/>
      <c r="O917" s="809"/>
      <c r="P917" s="809"/>
      <c r="Q917" s="809"/>
      <c r="R917" s="675"/>
      <c r="S917" s="675"/>
      <c r="T917" s="675"/>
      <c r="U917" s="678"/>
      <c r="V917" s="679"/>
      <c r="W917" s="675"/>
      <c r="X917" s="675"/>
      <c r="Y917" s="675"/>
      <c r="Z917" s="675"/>
    </row>
    <row r="918">
      <c r="A918" s="675"/>
      <c r="B918" s="677"/>
      <c r="C918" s="807"/>
      <c r="D918" s="808"/>
      <c r="E918" s="693"/>
      <c r="F918" s="809"/>
      <c r="G918" s="809"/>
      <c r="H918" s="809"/>
      <c r="I918" s="809"/>
      <c r="J918" s="809"/>
      <c r="K918" s="809"/>
      <c r="L918" s="809"/>
      <c r="M918" s="809"/>
      <c r="N918" s="809"/>
      <c r="O918" s="809"/>
      <c r="P918" s="809"/>
      <c r="Q918" s="809"/>
      <c r="R918" s="675"/>
      <c r="S918" s="675"/>
      <c r="T918" s="675"/>
      <c r="U918" s="678"/>
      <c r="V918" s="679"/>
      <c r="W918" s="675"/>
      <c r="X918" s="675"/>
      <c r="Y918" s="675"/>
      <c r="Z918" s="675"/>
    </row>
    <row r="919">
      <c r="A919" s="675"/>
      <c r="B919" s="677"/>
      <c r="C919" s="807"/>
      <c r="D919" s="808"/>
      <c r="E919" s="693"/>
      <c r="F919" s="809"/>
      <c r="G919" s="809"/>
      <c r="H919" s="809"/>
      <c r="I919" s="809"/>
      <c r="J919" s="809"/>
      <c r="K919" s="809"/>
      <c r="L919" s="809"/>
      <c r="M919" s="809"/>
      <c r="N919" s="809"/>
      <c r="O919" s="809"/>
      <c r="P919" s="809"/>
      <c r="Q919" s="809"/>
      <c r="R919" s="675"/>
      <c r="S919" s="675"/>
      <c r="T919" s="675"/>
      <c r="U919" s="678"/>
      <c r="V919" s="679"/>
      <c r="W919" s="675"/>
      <c r="X919" s="675"/>
      <c r="Y919" s="675"/>
      <c r="Z919" s="675"/>
    </row>
    <row r="920">
      <c r="A920" s="675"/>
      <c r="B920" s="677"/>
      <c r="C920" s="807"/>
      <c r="D920" s="808"/>
      <c r="E920" s="693"/>
      <c r="F920" s="809"/>
      <c r="G920" s="809"/>
      <c r="H920" s="809"/>
      <c r="I920" s="809"/>
      <c r="J920" s="809"/>
      <c r="K920" s="809"/>
      <c r="L920" s="809"/>
      <c r="M920" s="809"/>
      <c r="N920" s="809"/>
      <c r="O920" s="809"/>
      <c r="P920" s="809"/>
      <c r="Q920" s="809"/>
      <c r="R920" s="675"/>
      <c r="S920" s="675"/>
      <c r="T920" s="675"/>
      <c r="U920" s="678"/>
      <c r="V920" s="679"/>
      <c r="W920" s="675"/>
      <c r="X920" s="675"/>
      <c r="Y920" s="675"/>
      <c r="Z920" s="675"/>
    </row>
    <row r="921">
      <c r="A921" s="675"/>
      <c r="B921" s="677"/>
      <c r="C921" s="807"/>
      <c r="D921" s="808"/>
      <c r="E921" s="693"/>
      <c r="F921" s="809"/>
      <c r="G921" s="809"/>
      <c r="H921" s="809"/>
      <c r="I921" s="809"/>
      <c r="J921" s="809"/>
      <c r="K921" s="809"/>
      <c r="L921" s="809"/>
      <c r="M921" s="809"/>
      <c r="N921" s="809"/>
      <c r="O921" s="809"/>
      <c r="P921" s="809"/>
      <c r="Q921" s="809"/>
      <c r="R921" s="675"/>
      <c r="S921" s="675"/>
      <c r="T921" s="675"/>
      <c r="U921" s="678"/>
      <c r="V921" s="679"/>
      <c r="W921" s="675"/>
      <c r="X921" s="675"/>
      <c r="Y921" s="675"/>
      <c r="Z921" s="675"/>
    </row>
    <row r="922">
      <c r="A922" s="675"/>
      <c r="B922" s="677"/>
      <c r="C922" s="807"/>
      <c r="D922" s="808"/>
      <c r="E922" s="693"/>
      <c r="F922" s="809"/>
      <c r="G922" s="809"/>
      <c r="H922" s="809"/>
      <c r="I922" s="809"/>
      <c r="J922" s="809"/>
      <c r="K922" s="809"/>
      <c r="L922" s="809"/>
      <c r="M922" s="809"/>
      <c r="N922" s="809"/>
      <c r="O922" s="809"/>
      <c r="P922" s="809"/>
      <c r="Q922" s="809"/>
      <c r="R922" s="675"/>
      <c r="S922" s="675"/>
      <c r="T922" s="675"/>
      <c r="U922" s="678"/>
      <c r="V922" s="679"/>
      <c r="W922" s="675"/>
      <c r="X922" s="675"/>
      <c r="Y922" s="675"/>
      <c r="Z922" s="675"/>
    </row>
    <row r="923">
      <c r="A923" s="675"/>
      <c r="B923" s="677"/>
      <c r="C923" s="807"/>
      <c r="D923" s="808"/>
      <c r="E923" s="693"/>
      <c r="F923" s="809"/>
      <c r="G923" s="809"/>
      <c r="H923" s="809"/>
      <c r="I923" s="809"/>
      <c r="J923" s="809"/>
      <c r="K923" s="809"/>
      <c r="L923" s="809"/>
      <c r="M923" s="809"/>
      <c r="N923" s="809"/>
      <c r="O923" s="809"/>
      <c r="P923" s="809"/>
      <c r="Q923" s="809"/>
      <c r="R923" s="675"/>
      <c r="S923" s="675"/>
      <c r="T923" s="675"/>
      <c r="U923" s="678"/>
      <c r="V923" s="679"/>
      <c r="W923" s="675"/>
      <c r="X923" s="675"/>
      <c r="Y923" s="675"/>
      <c r="Z923" s="675"/>
    </row>
    <row r="924">
      <c r="A924" s="675"/>
      <c r="B924" s="677"/>
      <c r="C924" s="807"/>
      <c r="D924" s="808"/>
      <c r="E924" s="693"/>
      <c r="F924" s="809"/>
      <c r="G924" s="809"/>
      <c r="H924" s="809"/>
      <c r="I924" s="809"/>
      <c r="J924" s="809"/>
      <c r="K924" s="809"/>
      <c r="L924" s="809"/>
      <c r="M924" s="809"/>
      <c r="N924" s="809"/>
      <c r="O924" s="809"/>
      <c r="P924" s="809"/>
      <c r="Q924" s="809"/>
      <c r="R924" s="675"/>
      <c r="S924" s="675"/>
      <c r="T924" s="675"/>
      <c r="U924" s="678"/>
      <c r="V924" s="679"/>
      <c r="W924" s="675"/>
      <c r="X924" s="675"/>
      <c r="Y924" s="675"/>
      <c r="Z924" s="675"/>
    </row>
    <row r="925">
      <c r="A925" s="675"/>
      <c r="B925" s="677"/>
      <c r="C925" s="807"/>
      <c r="D925" s="808"/>
      <c r="E925" s="693"/>
      <c r="F925" s="809"/>
      <c r="G925" s="809"/>
      <c r="H925" s="809"/>
      <c r="I925" s="809"/>
      <c r="J925" s="809"/>
      <c r="K925" s="809"/>
      <c r="L925" s="809"/>
      <c r="M925" s="809"/>
      <c r="N925" s="809"/>
      <c r="O925" s="809"/>
      <c r="P925" s="809"/>
      <c r="Q925" s="809"/>
      <c r="R925" s="675"/>
      <c r="S925" s="675"/>
      <c r="T925" s="675"/>
      <c r="U925" s="678"/>
      <c r="V925" s="679"/>
      <c r="W925" s="675"/>
      <c r="X925" s="675"/>
      <c r="Y925" s="675"/>
      <c r="Z925" s="675"/>
    </row>
    <row r="926">
      <c r="A926" s="675"/>
      <c r="B926" s="677"/>
      <c r="C926" s="807"/>
      <c r="D926" s="808"/>
      <c r="E926" s="693"/>
      <c r="F926" s="809"/>
      <c r="G926" s="809"/>
      <c r="H926" s="809"/>
      <c r="I926" s="809"/>
      <c r="J926" s="809"/>
      <c r="K926" s="809"/>
      <c r="L926" s="809"/>
      <c r="M926" s="809"/>
      <c r="N926" s="809"/>
      <c r="O926" s="809"/>
      <c r="P926" s="809"/>
      <c r="Q926" s="809"/>
      <c r="R926" s="675"/>
      <c r="S926" s="675"/>
      <c r="T926" s="675"/>
      <c r="U926" s="678"/>
      <c r="V926" s="679"/>
      <c r="W926" s="675"/>
      <c r="X926" s="675"/>
      <c r="Y926" s="675"/>
      <c r="Z926" s="675"/>
    </row>
    <row r="927">
      <c r="A927" s="675"/>
      <c r="B927" s="677"/>
      <c r="C927" s="807"/>
      <c r="D927" s="808"/>
      <c r="E927" s="693"/>
      <c r="F927" s="809"/>
      <c r="G927" s="809"/>
      <c r="H927" s="809"/>
      <c r="I927" s="809"/>
      <c r="J927" s="809"/>
      <c r="K927" s="809"/>
      <c r="L927" s="809"/>
      <c r="M927" s="809"/>
      <c r="N927" s="809"/>
      <c r="O927" s="809"/>
      <c r="P927" s="809"/>
      <c r="Q927" s="809"/>
      <c r="R927" s="675"/>
      <c r="S927" s="675"/>
      <c r="T927" s="675"/>
      <c r="U927" s="678"/>
      <c r="V927" s="679"/>
      <c r="W927" s="675"/>
      <c r="X927" s="675"/>
      <c r="Y927" s="675"/>
      <c r="Z927" s="675"/>
    </row>
    <row r="928">
      <c r="A928" s="675"/>
      <c r="B928" s="677"/>
      <c r="C928" s="807"/>
      <c r="D928" s="808"/>
      <c r="E928" s="693"/>
      <c r="F928" s="809"/>
      <c r="G928" s="809"/>
      <c r="H928" s="809"/>
      <c r="I928" s="809"/>
      <c r="J928" s="809"/>
      <c r="K928" s="809"/>
      <c r="L928" s="809"/>
      <c r="M928" s="809"/>
      <c r="N928" s="809"/>
      <c r="O928" s="809"/>
      <c r="P928" s="809"/>
      <c r="Q928" s="809"/>
      <c r="R928" s="675"/>
      <c r="S928" s="675"/>
      <c r="T928" s="675"/>
      <c r="U928" s="678"/>
      <c r="V928" s="679"/>
      <c r="W928" s="675"/>
      <c r="X928" s="675"/>
      <c r="Y928" s="675"/>
      <c r="Z928" s="675"/>
    </row>
    <row r="929">
      <c r="A929" s="675"/>
      <c r="B929" s="677"/>
      <c r="C929" s="807"/>
      <c r="D929" s="808"/>
      <c r="E929" s="693"/>
      <c r="F929" s="809"/>
      <c r="G929" s="809"/>
      <c r="H929" s="809"/>
      <c r="I929" s="809"/>
      <c r="J929" s="809"/>
      <c r="K929" s="809"/>
      <c r="L929" s="809"/>
      <c r="M929" s="809"/>
      <c r="N929" s="809"/>
      <c r="O929" s="809"/>
      <c r="P929" s="809"/>
      <c r="Q929" s="809"/>
      <c r="R929" s="675"/>
      <c r="S929" s="675"/>
      <c r="T929" s="675"/>
      <c r="U929" s="678"/>
      <c r="V929" s="679"/>
      <c r="W929" s="675"/>
      <c r="X929" s="675"/>
      <c r="Y929" s="675"/>
      <c r="Z929" s="675"/>
    </row>
    <row r="930">
      <c r="A930" s="675"/>
      <c r="B930" s="677"/>
      <c r="C930" s="807"/>
      <c r="D930" s="808"/>
      <c r="E930" s="693"/>
      <c r="F930" s="809"/>
      <c r="G930" s="809"/>
      <c r="H930" s="809"/>
      <c r="I930" s="809"/>
      <c r="J930" s="809"/>
      <c r="K930" s="809"/>
      <c r="L930" s="809"/>
      <c r="M930" s="809"/>
      <c r="N930" s="809"/>
      <c r="O930" s="809"/>
      <c r="P930" s="809"/>
      <c r="Q930" s="809"/>
      <c r="R930" s="675"/>
      <c r="S930" s="675"/>
      <c r="T930" s="675"/>
      <c r="U930" s="678"/>
      <c r="V930" s="679"/>
      <c r="W930" s="675"/>
      <c r="X930" s="675"/>
      <c r="Y930" s="675"/>
      <c r="Z930" s="675"/>
    </row>
    <row r="931">
      <c r="A931" s="675"/>
      <c r="B931" s="677"/>
      <c r="C931" s="807"/>
      <c r="D931" s="808"/>
      <c r="E931" s="693"/>
      <c r="F931" s="809"/>
      <c r="G931" s="809"/>
      <c r="H931" s="809"/>
      <c r="I931" s="809"/>
      <c r="J931" s="809"/>
      <c r="K931" s="809"/>
      <c r="L931" s="809"/>
      <c r="M931" s="809"/>
      <c r="N931" s="809"/>
      <c r="O931" s="809"/>
      <c r="P931" s="809"/>
      <c r="Q931" s="809"/>
      <c r="R931" s="675"/>
      <c r="S931" s="675"/>
      <c r="T931" s="675"/>
      <c r="U931" s="678"/>
      <c r="V931" s="679"/>
      <c r="W931" s="675"/>
      <c r="X931" s="675"/>
      <c r="Y931" s="675"/>
      <c r="Z931" s="675"/>
    </row>
    <row r="932">
      <c r="A932" s="675"/>
      <c r="B932" s="677"/>
      <c r="C932" s="807"/>
      <c r="D932" s="808"/>
      <c r="E932" s="693"/>
      <c r="F932" s="809"/>
      <c r="G932" s="809"/>
      <c r="H932" s="809"/>
      <c r="I932" s="809"/>
      <c r="J932" s="809"/>
      <c r="K932" s="809"/>
      <c r="L932" s="809"/>
      <c r="M932" s="809"/>
      <c r="N932" s="809"/>
      <c r="O932" s="809"/>
      <c r="P932" s="809"/>
      <c r="Q932" s="809"/>
      <c r="R932" s="675"/>
      <c r="S932" s="675"/>
      <c r="T932" s="675"/>
      <c r="U932" s="678"/>
      <c r="V932" s="679"/>
      <c r="W932" s="675"/>
      <c r="X932" s="675"/>
      <c r="Y932" s="675"/>
      <c r="Z932" s="675"/>
    </row>
    <row r="933">
      <c r="A933" s="675"/>
      <c r="B933" s="677"/>
      <c r="C933" s="807"/>
      <c r="D933" s="808"/>
      <c r="E933" s="693"/>
      <c r="F933" s="809"/>
      <c r="G933" s="809"/>
      <c r="H933" s="809"/>
      <c r="I933" s="809"/>
      <c r="J933" s="809"/>
      <c r="K933" s="809"/>
      <c r="L933" s="809"/>
      <c r="M933" s="809"/>
      <c r="N933" s="809"/>
      <c r="O933" s="809"/>
      <c r="P933" s="809"/>
      <c r="Q933" s="809"/>
      <c r="R933" s="675"/>
      <c r="S933" s="675"/>
      <c r="T933" s="675"/>
      <c r="U933" s="678"/>
      <c r="V933" s="679"/>
      <c r="W933" s="675"/>
      <c r="X933" s="675"/>
      <c r="Y933" s="675"/>
      <c r="Z933" s="675"/>
    </row>
    <row r="934">
      <c r="A934" s="675"/>
      <c r="B934" s="677"/>
      <c r="C934" s="807"/>
      <c r="D934" s="808"/>
      <c r="E934" s="693"/>
      <c r="F934" s="809"/>
      <c r="G934" s="809"/>
      <c r="H934" s="809"/>
      <c r="I934" s="809"/>
      <c r="J934" s="809"/>
      <c r="K934" s="809"/>
      <c r="L934" s="809"/>
      <c r="M934" s="809"/>
      <c r="N934" s="809"/>
      <c r="O934" s="809"/>
      <c r="P934" s="809"/>
      <c r="Q934" s="809"/>
      <c r="R934" s="675"/>
      <c r="S934" s="675"/>
      <c r="T934" s="675"/>
      <c r="U934" s="678"/>
      <c r="V934" s="679"/>
      <c r="W934" s="675"/>
      <c r="X934" s="675"/>
      <c r="Y934" s="675"/>
      <c r="Z934" s="675"/>
    </row>
    <row r="935">
      <c r="A935" s="675"/>
      <c r="B935" s="677"/>
      <c r="C935" s="807"/>
      <c r="D935" s="808"/>
      <c r="E935" s="693"/>
      <c r="F935" s="809"/>
      <c r="G935" s="809"/>
      <c r="H935" s="809"/>
      <c r="I935" s="809"/>
      <c r="J935" s="809"/>
      <c r="K935" s="809"/>
      <c r="L935" s="809"/>
      <c r="M935" s="809"/>
      <c r="N935" s="809"/>
      <c r="O935" s="809"/>
      <c r="P935" s="809"/>
      <c r="Q935" s="809"/>
      <c r="R935" s="675"/>
      <c r="S935" s="675"/>
      <c r="T935" s="675"/>
      <c r="U935" s="678"/>
      <c r="V935" s="679"/>
      <c r="W935" s="675"/>
      <c r="X935" s="675"/>
      <c r="Y935" s="675"/>
      <c r="Z935" s="675"/>
    </row>
    <row r="936">
      <c r="A936" s="675"/>
      <c r="B936" s="677"/>
      <c r="C936" s="807"/>
      <c r="D936" s="808"/>
      <c r="E936" s="693"/>
      <c r="F936" s="809"/>
      <c r="G936" s="809"/>
      <c r="H936" s="809"/>
      <c r="I936" s="809"/>
      <c r="J936" s="809"/>
      <c r="K936" s="809"/>
      <c r="L936" s="809"/>
      <c r="M936" s="809"/>
      <c r="N936" s="809"/>
      <c r="O936" s="809"/>
      <c r="P936" s="809"/>
      <c r="Q936" s="809"/>
      <c r="R936" s="675"/>
      <c r="S936" s="675"/>
      <c r="T936" s="675"/>
      <c r="U936" s="678"/>
      <c r="V936" s="679"/>
      <c r="W936" s="675"/>
      <c r="X936" s="675"/>
      <c r="Y936" s="675"/>
      <c r="Z936" s="675"/>
    </row>
    <row r="937">
      <c r="A937" s="675"/>
      <c r="B937" s="677"/>
      <c r="C937" s="807"/>
      <c r="D937" s="808"/>
      <c r="E937" s="693"/>
      <c r="F937" s="809"/>
      <c r="G937" s="809"/>
      <c r="H937" s="809"/>
      <c r="I937" s="809"/>
      <c r="J937" s="809"/>
      <c r="K937" s="809"/>
      <c r="L937" s="809"/>
      <c r="M937" s="809"/>
      <c r="N937" s="809"/>
      <c r="O937" s="809"/>
      <c r="P937" s="809"/>
      <c r="Q937" s="809"/>
      <c r="R937" s="675"/>
      <c r="S937" s="675"/>
      <c r="T937" s="675"/>
      <c r="U937" s="678"/>
      <c r="V937" s="679"/>
      <c r="W937" s="675"/>
      <c r="X937" s="675"/>
      <c r="Y937" s="675"/>
      <c r="Z937" s="675"/>
    </row>
    <row r="938">
      <c r="A938" s="675"/>
      <c r="B938" s="677"/>
      <c r="C938" s="807"/>
      <c r="D938" s="808"/>
      <c r="E938" s="693"/>
      <c r="F938" s="809"/>
      <c r="G938" s="809"/>
      <c r="H938" s="809"/>
      <c r="I938" s="809"/>
      <c r="J938" s="809"/>
      <c r="K938" s="809"/>
      <c r="L938" s="809"/>
      <c r="M938" s="809"/>
      <c r="N938" s="809"/>
      <c r="O938" s="809"/>
      <c r="P938" s="809"/>
      <c r="Q938" s="809"/>
      <c r="R938" s="675"/>
      <c r="S938" s="675"/>
      <c r="T938" s="675"/>
      <c r="U938" s="678"/>
      <c r="V938" s="679"/>
      <c r="W938" s="675"/>
      <c r="X938" s="675"/>
      <c r="Y938" s="675"/>
      <c r="Z938" s="675"/>
    </row>
    <row r="939">
      <c r="A939" s="675"/>
      <c r="B939" s="677"/>
      <c r="C939" s="807"/>
      <c r="D939" s="808"/>
      <c r="E939" s="693"/>
      <c r="F939" s="809"/>
      <c r="G939" s="809"/>
      <c r="H939" s="809"/>
      <c r="I939" s="809"/>
      <c r="J939" s="809"/>
      <c r="K939" s="809"/>
      <c r="L939" s="809"/>
      <c r="M939" s="809"/>
      <c r="N939" s="809"/>
      <c r="O939" s="809"/>
      <c r="P939" s="809"/>
      <c r="Q939" s="809"/>
      <c r="R939" s="675"/>
      <c r="S939" s="675"/>
      <c r="T939" s="675"/>
      <c r="U939" s="678"/>
      <c r="V939" s="679"/>
      <c r="W939" s="675"/>
      <c r="X939" s="675"/>
      <c r="Y939" s="675"/>
      <c r="Z939" s="675"/>
    </row>
    <row r="940">
      <c r="A940" s="675"/>
      <c r="B940" s="677"/>
      <c r="C940" s="807"/>
      <c r="D940" s="808"/>
      <c r="E940" s="693"/>
      <c r="F940" s="809"/>
      <c r="G940" s="809"/>
      <c r="H940" s="809"/>
      <c r="I940" s="809"/>
      <c r="J940" s="809"/>
      <c r="K940" s="809"/>
      <c r="L940" s="809"/>
      <c r="M940" s="809"/>
      <c r="N940" s="809"/>
      <c r="O940" s="809"/>
      <c r="P940" s="809"/>
      <c r="Q940" s="809"/>
      <c r="R940" s="675"/>
      <c r="S940" s="675"/>
      <c r="T940" s="675"/>
      <c r="U940" s="678"/>
      <c r="V940" s="679"/>
      <c r="W940" s="675"/>
      <c r="X940" s="675"/>
      <c r="Y940" s="675"/>
      <c r="Z940" s="675"/>
    </row>
    <row r="941">
      <c r="A941" s="675"/>
      <c r="B941" s="677"/>
      <c r="C941" s="807"/>
      <c r="D941" s="808"/>
      <c r="E941" s="693"/>
      <c r="F941" s="809"/>
      <c r="G941" s="809"/>
      <c r="H941" s="809"/>
      <c r="I941" s="809"/>
      <c r="J941" s="809"/>
      <c r="K941" s="809"/>
      <c r="L941" s="809"/>
      <c r="M941" s="809"/>
      <c r="N941" s="809"/>
      <c r="O941" s="809"/>
      <c r="P941" s="809"/>
      <c r="Q941" s="809"/>
      <c r="R941" s="675"/>
      <c r="S941" s="675"/>
      <c r="T941" s="675"/>
      <c r="U941" s="678"/>
      <c r="V941" s="679"/>
      <c r="W941" s="675"/>
      <c r="X941" s="675"/>
      <c r="Y941" s="675"/>
      <c r="Z941" s="675"/>
    </row>
    <row r="942">
      <c r="A942" s="675"/>
      <c r="B942" s="677"/>
      <c r="C942" s="807"/>
      <c r="D942" s="808"/>
      <c r="E942" s="693"/>
      <c r="F942" s="809"/>
      <c r="G942" s="809"/>
      <c r="H942" s="809"/>
      <c r="I942" s="809"/>
      <c r="J942" s="809"/>
      <c r="K942" s="809"/>
      <c r="L942" s="809"/>
      <c r="M942" s="809"/>
      <c r="N942" s="809"/>
      <c r="O942" s="809"/>
      <c r="P942" s="809"/>
      <c r="Q942" s="809"/>
      <c r="R942" s="675"/>
      <c r="S942" s="675"/>
      <c r="T942" s="675"/>
      <c r="U942" s="678"/>
      <c r="V942" s="679"/>
      <c r="W942" s="675"/>
      <c r="X942" s="675"/>
      <c r="Y942" s="675"/>
      <c r="Z942" s="675"/>
    </row>
    <row r="943">
      <c r="A943" s="675"/>
      <c r="B943" s="677"/>
      <c r="C943" s="807"/>
      <c r="D943" s="808"/>
      <c r="E943" s="693"/>
      <c r="F943" s="809"/>
      <c r="G943" s="809"/>
      <c r="H943" s="809"/>
      <c r="I943" s="809"/>
      <c r="J943" s="809"/>
      <c r="K943" s="809"/>
      <c r="L943" s="809"/>
      <c r="M943" s="809"/>
      <c r="N943" s="809"/>
      <c r="O943" s="809"/>
      <c r="P943" s="809"/>
      <c r="Q943" s="809"/>
      <c r="R943" s="675"/>
      <c r="S943" s="675"/>
      <c r="T943" s="675"/>
      <c r="U943" s="678"/>
      <c r="V943" s="679"/>
      <c r="W943" s="675"/>
      <c r="X943" s="675"/>
      <c r="Y943" s="675"/>
      <c r="Z943" s="675"/>
    </row>
    <row r="944">
      <c r="A944" s="675"/>
      <c r="B944" s="677"/>
      <c r="C944" s="807"/>
      <c r="D944" s="808"/>
      <c r="E944" s="693"/>
      <c r="F944" s="809"/>
      <c r="G944" s="809"/>
      <c r="H944" s="809"/>
      <c r="I944" s="809"/>
      <c r="J944" s="809"/>
      <c r="K944" s="809"/>
      <c r="L944" s="809"/>
      <c r="M944" s="809"/>
      <c r="N944" s="809"/>
      <c r="O944" s="809"/>
      <c r="P944" s="809"/>
      <c r="Q944" s="809"/>
      <c r="R944" s="675"/>
      <c r="S944" s="675"/>
      <c r="T944" s="675"/>
      <c r="U944" s="678"/>
      <c r="V944" s="679"/>
      <c r="W944" s="675"/>
      <c r="X944" s="675"/>
      <c r="Y944" s="675"/>
      <c r="Z944" s="675"/>
    </row>
    <row r="945">
      <c r="A945" s="675"/>
      <c r="B945" s="677"/>
      <c r="C945" s="807"/>
      <c r="D945" s="808"/>
      <c r="E945" s="693"/>
      <c r="F945" s="809"/>
      <c r="G945" s="809"/>
      <c r="H945" s="809"/>
      <c r="I945" s="809"/>
      <c r="J945" s="809"/>
      <c r="K945" s="809"/>
      <c r="L945" s="809"/>
      <c r="M945" s="809"/>
      <c r="N945" s="809"/>
      <c r="O945" s="809"/>
      <c r="P945" s="809"/>
      <c r="Q945" s="809"/>
      <c r="R945" s="675"/>
      <c r="S945" s="675"/>
      <c r="T945" s="675"/>
      <c r="U945" s="678"/>
      <c r="V945" s="679"/>
      <c r="W945" s="675"/>
      <c r="X945" s="675"/>
      <c r="Y945" s="675"/>
      <c r="Z945" s="675"/>
    </row>
    <row r="946">
      <c r="A946" s="675"/>
      <c r="B946" s="677"/>
      <c r="C946" s="807"/>
      <c r="D946" s="808"/>
      <c r="E946" s="693"/>
      <c r="F946" s="809"/>
      <c r="G946" s="809"/>
      <c r="H946" s="809"/>
      <c r="I946" s="809"/>
      <c r="J946" s="809"/>
      <c r="K946" s="809"/>
      <c r="L946" s="809"/>
      <c r="M946" s="809"/>
      <c r="N946" s="809"/>
      <c r="O946" s="809"/>
      <c r="P946" s="809"/>
      <c r="Q946" s="809"/>
      <c r="R946" s="675"/>
      <c r="S946" s="675"/>
      <c r="T946" s="675"/>
      <c r="U946" s="678"/>
      <c r="V946" s="679"/>
      <c r="W946" s="675"/>
      <c r="X946" s="675"/>
      <c r="Y946" s="675"/>
      <c r="Z946" s="675"/>
    </row>
    <row r="947">
      <c r="A947" s="675"/>
      <c r="B947" s="677"/>
      <c r="C947" s="807"/>
      <c r="D947" s="808"/>
      <c r="E947" s="693"/>
      <c r="F947" s="809"/>
      <c r="G947" s="809"/>
      <c r="H947" s="809"/>
      <c r="I947" s="809"/>
      <c r="J947" s="809"/>
      <c r="K947" s="809"/>
      <c r="L947" s="809"/>
      <c r="M947" s="809"/>
      <c r="N947" s="809"/>
      <c r="O947" s="809"/>
      <c r="P947" s="809"/>
      <c r="Q947" s="809"/>
      <c r="R947" s="675"/>
      <c r="S947" s="675"/>
      <c r="T947" s="675"/>
      <c r="U947" s="678"/>
      <c r="V947" s="679"/>
      <c r="W947" s="675"/>
      <c r="X947" s="675"/>
      <c r="Y947" s="675"/>
      <c r="Z947" s="675"/>
    </row>
    <row r="948">
      <c r="A948" s="675"/>
      <c r="B948" s="677"/>
      <c r="C948" s="807"/>
      <c r="D948" s="808"/>
      <c r="E948" s="693"/>
      <c r="F948" s="809"/>
      <c r="G948" s="809"/>
      <c r="H948" s="809"/>
      <c r="I948" s="809"/>
      <c r="J948" s="809"/>
      <c r="K948" s="809"/>
      <c r="L948" s="809"/>
      <c r="M948" s="809"/>
      <c r="N948" s="809"/>
      <c r="O948" s="809"/>
      <c r="P948" s="809"/>
      <c r="Q948" s="809"/>
      <c r="R948" s="675"/>
      <c r="S948" s="675"/>
      <c r="T948" s="675"/>
      <c r="U948" s="678"/>
      <c r="V948" s="679"/>
      <c r="W948" s="675"/>
      <c r="X948" s="675"/>
      <c r="Y948" s="675"/>
      <c r="Z948" s="675"/>
    </row>
    <row r="949">
      <c r="A949" s="675"/>
      <c r="B949" s="677"/>
      <c r="C949" s="807"/>
      <c r="D949" s="808"/>
      <c r="E949" s="693"/>
      <c r="F949" s="809"/>
      <c r="G949" s="809"/>
      <c r="H949" s="809"/>
      <c r="I949" s="809"/>
      <c r="J949" s="809"/>
      <c r="K949" s="809"/>
      <c r="L949" s="809"/>
      <c r="M949" s="809"/>
      <c r="N949" s="809"/>
      <c r="O949" s="809"/>
      <c r="P949" s="809"/>
      <c r="Q949" s="809"/>
      <c r="R949" s="675"/>
      <c r="S949" s="675"/>
      <c r="T949" s="675"/>
      <c r="U949" s="678"/>
      <c r="V949" s="679"/>
      <c r="W949" s="675"/>
      <c r="X949" s="675"/>
      <c r="Y949" s="675"/>
      <c r="Z949" s="675"/>
    </row>
    <row r="950">
      <c r="A950" s="675"/>
      <c r="B950" s="677"/>
      <c r="C950" s="807"/>
      <c r="D950" s="808"/>
      <c r="E950" s="693"/>
      <c r="F950" s="809"/>
      <c r="G950" s="809"/>
      <c r="H950" s="809"/>
      <c r="I950" s="809"/>
      <c r="J950" s="809"/>
      <c r="K950" s="809"/>
      <c r="L950" s="809"/>
      <c r="M950" s="809"/>
      <c r="N950" s="809"/>
      <c r="O950" s="809"/>
      <c r="P950" s="809"/>
      <c r="Q950" s="809"/>
      <c r="R950" s="675"/>
      <c r="S950" s="675"/>
      <c r="T950" s="675"/>
      <c r="U950" s="678"/>
      <c r="V950" s="679"/>
      <c r="W950" s="675"/>
      <c r="X950" s="675"/>
      <c r="Y950" s="675"/>
      <c r="Z950" s="675"/>
    </row>
    <row r="951">
      <c r="A951" s="675"/>
      <c r="B951" s="677"/>
      <c r="C951" s="807"/>
      <c r="D951" s="808"/>
      <c r="E951" s="693"/>
      <c r="F951" s="809"/>
      <c r="G951" s="809"/>
      <c r="H951" s="809"/>
      <c r="I951" s="809"/>
      <c r="J951" s="809"/>
      <c r="K951" s="809"/>
      <c r="L951" s="809"/>
      <c r="M951" s="809"/>
      <c r="N951" s="809"/>
      <c r="O951" s="809"/>
      <c r="P951" s="809"/>
      <c r="Q951" s="809"/>
      <c r="R951" s="675"/>
      <c r="S951" s="675"/>
      <c r="T951" s="675"/>
      <c r="U951" s="678"/>
      <c r="V951" s="679"/>
      <c r="W951" s="675"/>
      <c r="X951" s="675"/>
      <c r="Y951" s="675"/>
      <c r="Z951" s="675"/>
    </row>
    <row r="952">
      <c r="A952" s="675"/>
      <c r="B952" s="677"/>
      <c r="C952" s="807"/>
      <c r="D952" s="808"/>
      <c r="E952" s="693"/>
      <c r="F952" s="809"/>
      <c r="G952" s="809"/>
      <c r="H952" s="809"/>
      <c r="I952" s="809"/>
      <c r="J952" s="809"/>
      <c r="K952" s="809"/>
      <c r="L952" s="809"/>
      <c r="M952" s="809"/>
      <c r="N952" s="809"/>
      <c r="O952" s="809"/>
      <c r="P952" s="809"/>
      <c r="Q952" s="809"/>
      <c r="R952" s="675"/>
      <c r="S952" s="675"/>
      <c r="T952" s="675"/>
      <c r="U952" s="678"/>
      <c r="V952" s="679"/>
      <c r="W952" s="675"/>
      <c r="X952" s="675"/>
      <c r="Y952" s="675"/>
      <c r="Z952" s="675"/>
    </row>
    <row r="953">
      <c r="A953" s="675"/>
      <c r="B953" s="677"/>
      <c r="C953" s="807"/>
      <c r="D953" s="808"/>
      <c r="E953" s="693"/>
      <c r="F953" s="809"/>
      <c r="G953" s="809"/>
      <c r="H953" s="809"/>
      <c r="I953" s="809"/>
      <c r="J953" s="809"/>
      <c r="K953" s="809"/>
      <c r="L953" s="809"/>
      <c r="M953" s="809"/>
      <c r="N953" s="809"/>
      <c r="O953" s="809"/>
      <c r="P953" s="809"/>
      <c r="Q953" s="809"/>
      <c r="R953" s="675"/>
      <c r="S953" s="675"/>
      <c r="T953" s="675"/>
      <c r="U953" s="678"/>
      <c r="V953" s="679"/>
      <c r="W953" s="675"/>
      <c r="X953" s="675"/>
      <c r="Y953" s="675"/>
      <c r="Z953" s="675"/>
    </row>
    <row r="954">
      <c r="A954" s="675"/>
      <c r="B954" s="677"/>
      <c r="C954" s="807"/>
      <c r="D954" s="808"/>
      <c r="E954" s="693"/>
      <c r="F954" s="809"/>
      <c r="G954" s="809"/>
      <c r="H954" s="809"/>
      <c r="I954" s="809"/>
      <c r="J954" s="809"/>
      <c r="K954" s="809"/>
      <c r="L954" s="809"/>
      <c r="M954" s="809"/>
      <c r="N954" s="809"/>
      <c r="O954" s="809"/>
      <c r="P954" s="809"/>
      <c r="Q954" s="809"/>
      <c r="R954" s="675"/>
      <c r="S954" s="675"/>
      <c r="T954" s="675"/>
      <c r="U954" s="678"/>
      <c r="V954" s="679"/>
      <c r="W954" s="675"/>
      <c r="X954" s="675"/>
      <c r="Y954" s="675"/>
      <c r="Z954" s="675"/>
    </row>
    <row r="955">
      <c r="A955" s="675"/>
      <c r="B955" s="677"/>
      <c r="C955" s="807"/>
      <c r="D955" s="808"/>
      <c r="E955" s="693"/>
      <c r="F955" s="809"/>
      <c r="G955" s="809"/>
      <c r="H955" s="809"/>
      <c r="I955" s="809"/>
      <c r="J955" s="809"/>
      <c r="K955" s="809"/>
      <c r="L955" s="809"/>
      <c r="M955" s="809"/>
      <c r="N955" s="809"/>
      <c r="O955" s="809"/>
      <c r="P955" s="809"/>
      <c r="Q955" s="809"/>
      <c r="R955" s="675"/>
      <c r="S955" s="675"/>
      <c r="T955" s="675"/>
      <c r="U955" s="678"/>
      <c r="V955" s="679"/>
      <c r="W955" s="675"/>
      <c r="X955" s="675"/>
      <c r="Y955" s="675"/>
      <c r="Z955" s="675"/>
    </row>
    <row r="956">
      <c r="A956" s="675"/>
      <c r="B956" s="677"/>
      <c r="C956" s="807"/>
      <c r="D956" s="808"/>
      <c r="E956" s="693"/>
      <c r="F956" s="809"/>
      <c r="G956" s="809"/>
      <c r="H956" s="809"/>
      <c r="I956" s="809"/>
      <c r="J956" s="809"/>
      <c r="K956" s="809"/>
      <c r="L956" s="809"/>
      <c r="M956" s="809"/>
      <c r="N956" s="809"/>
      <c r="O956" s="809"/>
      <c r="P956" s="809"/>
      <c r="Q956" s="809"/>
      <c r="R956" s="675"/>
      <c r="S956" s="675"/>
      <c r="T956" s="675"/>
      <c r="U956" s="678"/>
      <c r="V956" s="679"/>
      <c r="W956" s="675"/>
      <c r="X956" s="675"/>
      <c r="Y956" s="675"/>
      <c r="Z956" s="675"/>
    </row>
    <row r="957">
      <c r="A957" s="675"/>
      <c r="B957" s="677"/>
      <c r="C957" s="807"/>
      <c r="D957" s="808"/>
      <c r="E957" s="693"/>
      <c r="F957" s="809"/>
      <c r="G957" s="809"/>
      <c r="H957" s="809"/>
      <c r="I957" s="809"/>
      <c r="J957" s="809"/>
      <c r="K957" s="809"/>
      <c r="L957" s="809"/>
      <c r="M957" s="809"/>
      <c r="N957" s="809"/>
      <c r="O957" s="809"/>
      <c r="P957" s="809"/>
      <c r="Q957" s="809"/>
      <c r="R957" s="675"/>
      <c r="S957" s="675"/>
      <c r="T957" s="675"/>
      <c r="U957" s="678"/>
      <c r="V957" s="679"/>
      <c r="W957" s="675"/>
      <c r="X957" s="675"/>
      <c r="Y957" s="675"/>
      <c r="Z957" s="675"/>
    </row>
    <row r="958">
      <c r="A958" s="675"/>
      <c r="B958" s="677"/>
      <c r="C958" s="807"/>
      <c r="D958" s="808"/>
      <c r="E958" s="693"/>
      <c r="F958" s="809"/>
      <c r="G958" s="809"/>
      <c r="H958" s="809"/>
      <c r="I958" s="809"/>
      <c r="J958" s="809"/>
      <c r="K958" s="809"/>
      <c r="L958" s="809"/>
      <c r="M958" s="809"/>
      <c r="N958" s="809"/>
      <c r="O958" s="809"/>
      <c r="P958" s="809"/>
      <c r="Q958" s="809"/>
      <c r="R958" s="675"/>
      <c r="S958" s="675"/>
      <c r="T958" s="675"/>
      <c r="U958" s="678"/>
      <c r="V958" s="679"/>
      <c r="W958" s="675"/>
      <c r="X958" s="675"/>
      <c r="Y958" s="675"/>
      <c r="Z958" s="675"/>
    </row>
    <row r="959">
      <c r="A959" s="675"/>
      <c r="B959" s="677"/>
      <c r="C959" s="807"/>
      <c r="D959" s="808"/>
      <c r="E959" s="693"/>
      <c r="F959" s="809"/>
      <c r="G959" s="809"/>
      <c r="H959" s="809"/>
      <c r="I959" s="809"/>
      <c r="J959" s="809"/>
      <c r="K959" s="809"/>
      <c r="L959" s="809"/>
      <c r="M959" s="809"/>
      <c r="N959" s="809"/>
      <c r="O959" s="809"/>
      <c r="P959" s="809"/>
      <c r="Q959" s="809"/>
      <c r="R959" s="675"/>
      <c r="S959" s="675"/>
      <c r="T959" s="675"/>
      <c r="U959" s="678"/>
      <c r="V959" s="679"/>
      <c r="W959" s="675"/>
      <c r="X959" s="675"/>
      <c r="Y959" s="675"/>
      <c r="Z959" s="675"/>
    </row>
    <row r="960">
      <c r="A960" s="675"/>
      <c r="B960" s="677"/>
      <c r="C960" s="807"/>
      <c r="D960" s="808"/>
      <c r="E960" s="693"/>
      <c r="F960" s="809"/>
      <c r="G960" s="809"/>
      <c r="H960" s="809"/>
      <c r="I960" s="809"/>
      <c r="J960" s="809"/>
      <c r="K960" s="809"/>
      <c r="L960" s="809"/>
      <c r="M960" s="809"/>
      <c r="N960" s="809"/>
      <c r="O960" s="809"/>
      <c r="P960" s="809"/>
      <c r="Q960" s="809"/>
      <c r="R960" s="675"/>
      <c r="S960" s="675"/>
      <c r="T960" s="675"/>
      <c r="U960" s="678"/>
      <c r="V960" s="679"/>
      <c r="W960" s="675"/>
      <c r="X960" s="675"/>
      <c r="Y960" s="675"/>
      <c r="Z960" s="675"/>
    </row>
    <row r="961">
      <c r="A961" s="675"/>
      <c r="B961" s="677"/>
      <c r="C961" s="807"/>
      <c r="D961" s="808"/>
      <c r="E961" s="693"/>
      <c r="F961" s="809"/>
      <c r="G961" s="809"/>
      <c r="H961" s="809"/>
      <c r="I961" s="809"/>
      <c r="J961" s="809"/>
      <c r="K961" s="809"/>
      <c r="L961" s="809"/>
      <c r="M961" s="809"/>
      <c r="N961" s="809"/>
      <c r="O961" s="809"/>
      <c r="P961" s="809"/>
      <c r="Q961" s="809"/>
      <c r="R961" s="675"/>
      <c r="S961" s="675"/>
      <c r="T961" s="675"/>
      <c r="U961" s="678"/>
      <c r="V961" s="679"/>
      <c r="W961" s="675"/>
      <c r="X961" s="675"/>
      <c r="Y961" s="675"/>
      <c r="Z961" s="675"/>
    </row>
    <row r="962">
      <c r="A962" s="675"/>
      <c r="B962" s="677"/>
      <c r="C962" s="807"/>
      <c r="D962" s="808"/>
      <c r="E962" s="693"/>
      <c r="F962" s="809"/>
      <c r="G962" s="809"/>
      <c r="H962" s="809"/>
      <c r="I962" s="809"/>
      <c r="J962" s="809"/>
      <c r="K962" s="809"/>
      <c r="L962" s="809"/>
      <c r="M962" s="809"/>
      <c r="N962" s="809"/>
      <c r="O962" s="809"/>
      <c r="P962" s="809"/>
      <c r="Q962" s="809"/>
      <c r="R962" s="675"/>
      <c r="S962" s="675"/>
      <c r="T962" s="675"/>
      <c r="U962" s="678"/>
      <c r="V962" s="679"/>
      <c r="W962" s="675"/>
      <c r="X962" s="675"/>
      <c r="Y962" s="675"/>
      <c r="Z962" s="675"/>
    </row>
    <row r="963">
      <c r="A963" s="675"/>
      <c r="B963" s="677"/>
      <c r="C963" s="807"/>
      <c r="D963" s="808"/>
      <c r="E963" s="693"/>
      <c r="F963" s="809"/>
      <c r="G963" s="809"/>
      <c r="H963" s="809"/>
      <c r="I963" s="809"/>
      <c r="J963" s="809"/>
      <c r="K963" s="809"/>
      <c r="L963" s="809"/>
      <c r="M963" s="809"/>
      <c r="N963" s="809"/>
      <c r="O963" s="809"/>
      <c r="P963" s="809"/>
      <c r="Q963" s="809"/>
      <c r="R963" s="675"/>
      <c r="S963" s="675"/>
      <c r="T963" s="675"/>
      <c r="U963" s="678"/>
      <c r="V963" s="679"/>
      <c r="W963" s="675"/>
      <c r="X963" s="675"/>
      <c r="Y963" s="675"/>
      <c r="Z963" s="675"/>
    </row>
    <row r="964">
      <c r="A964" s="675"/>
      <c r="B964" s="677"/>
      <c r="C964" s="807"/>
      <c r="D964" s="808"/>
      <c r="E964" s="693"/>
      <c r="F964" s="809"/>
      <c r="G964" s="809"/>
      <c r="H964" s="809"/>
      <c r="I964" s="809"/>
      <c r="J964" s="809"/>
      <c r="K964" s="809"/>
      <c r="L964" s="809"/>
      <c r="M964" s="809"/>
      <c r="N964" s="809"/>
      <c r="O964" s="809"/>
      <c r="P964" s="809"/>
      <c r="Q964" s="809"/>
      <c r="R964" s="675"/>
      <c r="S964" s="675"/>
      <c r="T964" s="675"/>
      <c r="U964" s="678"/>
      <c r="V964" s="679"/>
      <c r="W964" s="675"/>
      <c r="X964" s="675"/>
      <c r="Y964" s="675"/>
      <c r="Z964" s="675"/>
    </row>
    <row r="965">
      <c r="A965" s="675"/>
      <c r="B965" s="677"/>
      <c r="C965" s="807"/>
      <c r="D965" s="808"/>
      <c r="E965" s="693"/>
      <c r="F965" s="809"/>
      <c r="G965" s="809"/>
      <c r="H965" s="809"/>
      <c r="I965" s="809"/>
      <c r="J965" s="809"/>
      <c r="K965" s="809"/>
      <c r="L965" s="809"/>
      <c r="M965" s="809"/>
      <c r="N965" s="809"/>
      <c r="O965" s="809"/>
      <c r="P965" s="809"/>
      <c r="Q965" s="809"/>
      <c r="R965" s="675"/>
      <c r="S965" s="675"/>
      <c r="T965" s="675"/>
      <c r="U965" s="678"/>
      <c r="V965" s="679"/>
      <c r="W965" s="675"/>
      <c r="X965" s="675"/>
      <c r="Y965" s="675"/>
      <c r="Z965" s="675"/>
    </row>
    <row r="966">
      <c r="A966" s="675"/>
      <c r="B966" s="677"/>
      <c r="C966" s="807"/>
      <c r="D966" s="808"/>
      <c r="E966" s="693"/>
      <c r="F966" s="809"/>
      <c r="G966" s="809"/>
      <c r="H966" s="809"/>
      <c r="I966" s="809"/>
      <c r="J966" s="809"/>
      <c r="K966" s="809"/>
      <c r="L966" s="809"/>
      <c r="M966" s="809"/>
      <c r="N966" s="809"/>
      <c r="O966" s="809"/>
      <c r="P966" s="809"/>
      <c r="Q966" s="809"/>
      <c r="R966" s="675"/>
      <c r="S966" s="675"/>
      <c r="T966" s="675"/>
      <c r="U966" s="678"/>
      <c r="V966" s="679"/>
      <c r="W966" s="675"/>
      <c r="X966" s="675"/>
      <c r="Y966" s="675"/>
      <c r="Z966" s="675"/>
    </row>
    <row r="967">
      <c r="A967" s="675"/>
      <c r="B967" s="677"/>
      <c r="C967" s="807"/>
      <c r="D967" s="808"/>
      <c r="E967" s="693"/>
      <c r="F967" s="809"/>
      <c r="G967" s="809"/>
      <c r="H967" s="809"/>
      <c r="I967" s="809"/>
      <c r="J967" s="809"/>
      <c r="K967" s="809"/>
      <c r="L967" s="809"/>
      <c r="M967" s="809"/>
      <c r="N967" s="809"/>
      <c r="O967" s="809"/>
      <c r="P967" s="809"/>
      <c r="Q967" s="809"/>
      <c r="R967" s="675"/>
      <c r="S967" s="675"/>
      <c r="T967" s="675"/>
      <c r="U967" s="678"/>
      <c r="V967" s="679"/>
      <c r="W967" s="675"/>
      <c r="X967" s="675"/>
      <c r="Y967" s="675"/>
      <c r="Z967" s="675"/>
    </row>
    <row r="968">
      <c r="A968" s="675"/>
      <c r="B968" s="677"/>
      <c r="C968" s="807"/>
      <c r="D968" s="808"/>
      <c r="E968" s="693"/>
      <c r="F968" s="809"/>
      <c r="G968" s="809"/>
      <c r="H968" s="809"/>
      <c r="I968" s="809"/>
      <c r="J968" s="809"/>
      <c r="K968" s="809"/>
      <c r="L968" s="809"/>
      <c r="M968" s="809"/>
      <c r="N968" s="809"/>
      <c r="O968" s="809"/>
      <c r="P968" s="809"/>
      <c r="Q968" s="809"/>
      <c r="R968" s="675"/>
      <c r="S968" s="675"/>
      <c r="T968" s="675"/>
      <c r="U968" s="678"/>
      <c r="V968" s="679"/>
      <c r="W968" s="675"/>
      <c r="X968" s="675"/>
      <c r="Y968" s="675"/>
      <c r="Z968" s="675"/>
    </row>
    <row r="969">
      <c r="A969" s="675"/>
      <c r="B969" s="677"/>
      <c r="C969" s="807"/>
      <c r="D969" s="808"/>
      <c r="E969" s="693"/>
      <c r="F969" s="809"/>
      <c r="G969" s="809"/>
      <c r="H969" s="809"/>
      <c r="I969" s="809"/>
      <c r="J969" s="809"/>
      <c r="K969" s="809"/>
      <c r="L969" s="809"/>
      <c r="M969" s="809"/>
      <c r="N969" s="809"/>
      <c r="O969" s="809"/>
      <c r="P969" s="809"/>
      <c r="Q969" s="809"/>
      <c r="R969" s="675"/>
      <c r="S969" s="675"/>
      <c r="T969" s="675"/>
      <c r="U969" s="678"/>
      <c r="V969" s="679"/>
      <c r="W969" s="675"/>
      <c r="X969" s="675"/>
      <c r="Y969" s="675"/>
      <c r="Z969" s="675"/>
    </row>
    <row r="970">
      <c r="A970" s="675"/>
      <c r="B970" s="677"/>
      <c r="C970" s="807"/>
      <c r="D970" s="808"/>
      <c r="E970" s="693"/>
      <c r="F970" s="809"/>
      <c r="G970" s="809"/>
      <c r="H970" s="809"/>
      <c r="I970" s="809"/>
      <c r="J970" s="809"/>
      <c r="K970" s="809"/>
      <c r="L970" s="809"/>
      <c r="M970" s="809"/>
      <c r="N970" s="809"/>
      <c r="O970" s="809"/>
      <c r="P970" s="809"/>
      <c r="Q970" s="809"/>
      <c r="R970" s="675"/>
      <c r="S970" s="675"/>
      <c r="T970" s="675"/>
      <c r="U970" s="678"/>
      <c r="V970" s="679"/>
      <c r="W970" s="675"/>
      <c r="X970" s="675"/>
      <c r="Y970" s="675"/>
      <c r="Z970" s="675"/>
    </row>
    <row r="971">
      <c r="A971" s="675"/>
      <c r="B971" s="677"/>
      <c r="C971" s="807"/>
      <c r="D971" s="808"/>
      <c r="E971" s="693"/>
      <c r="F971" s="809"/>
      <c r="G971" s="809"/>
      <c r="H971" s="809"/>
      <c r="I971" s="809"/>
      <c r="J971" s="809"/>
      <c r="K971" s="809"/>
      <c r="L971" s="809"/>
      <c r="M971" s="809"/>
      <c r="N971" s="809"/>
      <c r="O971" s="809"/>
      <c r="P971" s="809"/>
      <c r="Q971" s="809"/>
      <c r="R971" s="675"/>
      <c r="S971" s="675"/>
      <c r="T971" s="675"/>
      <c r="U971" s="678"/>
      <c r="V971" s="679"/>
      <c r="W971" s="675"/>
      <c r="X971" s="675"/>
      <c r="Y971" s="675"/>
      <c r="Z971" s="675"/>
    </row>
    <row r="972">
      <c r="A972" s="675"/>
      <c r="B972" s="677"/>
      <c r="C972" s="807"/>
      <c r="D972" s="808"/>
      <c r="E972" s="693"/>
      <c r="F972" s="809"/>
      <c r="G972" s="809"/>
      <c r="H972" s="809"/>
      <c r="I972" s="809"/>
      <c r="J972" s="809"/>
      <c r="K972" s="809"/>
      <c r="L972" s="809"/>
      <c r="M972" s="809"/>
      <c r="N972" s="809"/>
      <c r="O972" s="809"/>
      <c r="P972" s="809"/>
      <c r="Q972" s="809"/>
      <c r="R972" s="675"/>
      <c r="S972" s="675"/>
      <c r="T972" s="675"/>
      <c r="U972" s="678"/>
      <c r="V972" s="679"/>
      <c r="W972" s="675"/>
      <c r="X972" s="675"/>
      <c r="Y972" s="675"/>
      <c r="Z972" s="675"/>
    </row>
    <row r="973">
      <c r="A973" s="675"/>
      <c r="B973" s="677"/>
      <c r="C973" s="807"/>
      <c r="D973" s="808"/>
      <c r="E973" s="693"/>
      <c r="F973" s="809"/>
      <c r="G973" s="809"/>
      <c r="H973" s="809"/>
      <c r="I973" s="809"/>
      <c r="J973" s="809"/>
      <c r="K973" s="809"/>
      <c r="L973" s="809"/>
      <c r="M973" s="809"/>
      <c r="N973" s="809"/>
      <c r="O973" s="809"/>
      <c r="P973" s="809"/>
      <c r="Q973" s="809"/>
      <c r="R973" s="675"/>
      <c r="S973" s="675"/>
      <c r="T973" s="675"/>
      <c r="U973" s="678"/>
      <c r="V973" s="679"/>
      <c r="W973" s="675"/>
      <c r="X973" s="675"/>
      <c r="Y973" s="675"/>
      <c r="Z973" s="675"/>
    </row>
    <row r="974">
      <c r="A974" s="675"/>
      <c r="B974" s="677"/>
      <c r="C974" s="807"/>
      <c r="D974" s="808"/>
      <c r="E974" s="693"/>
      <c r="F974" s="809"/>
      <c r="G974" s="809"/>
      <c r="H974" s="809"/>
      <c r="I974" s="809"/>
      <c r="J974" s="809"/>
      <c r="K974" s="809"/>
      <c r="L974" s="809"/>
      <c r="M974" s="809"/>
      <c r="N974" s="809"/>
      <c r="O974" s="809"/>
      <c r="P974" s="809"/>
      <c r="Q974" s="809"/>
      <c r="R974" s="675"/>
      <c r="S974" s="675"/>
      <c r="T974" s="675"/>
      <c r="U974" s="678"/>
      <c r="V974" s="679"/>
      <c r="W974" s="675"/>
      <c r="X974" s="675"/>
      <c r="Y974" s="675"/>
      <c r="Z974" s="675"/>
    </row>
    <row r="975">
      <c r="A975" s="675"/>
      <c r="B975" s="677"/>
      <c r="C975" s="807"/>
      <c r="D975" s="808"/>
      <c r="E975" s="693"/>
      <c r="F975" s="809"/>
      <c r="G975" s="809"/>
      <c r="H975" s="809"/>
      <c r="I975" s="809"/>
      <c r="J975" s="809"/>
      <c r="K975" s="809"/>
      <c r="L975" s="809"/>
      <c r="M975" s="809"/>
      <c r="N975" s="809"/>
      <c r="O975" s="809"/>
      <c r="P975" s="809"/>
      <c r="Q975" s="809"/>
      <c r="R975" s="675"/>
      <c r="S975" s="675"/>
      <c r="T975" s="675"/>
      <c r="U975" s="678"/>
      <c r="V975" s="679"/>
      <c r="W975" s="675"/>
      <c r="X975" s="675"/>
      <c r="Y975" s="675"/>
      <c r="Z975" s="675"/>
    </row>
    <row r="976">
      <c r="A976" s="675"/>
      <c r="B976" s="677"/>
      <c r="C976" s="807"/>
      <c r="D976" s="808"/>
      <c r="E976" s="693"/>
      <c r="F976" s="809"/>
      <c r="G976" s="809"/>
      <c r="H976" s="809"/>
      <c r="I976" s="809"/>
      <c r="J976" s="809"/>
      <c r="K976" s="809"/>
      <c r="L976" s="809"/>
      <c r="M976" s="809"/>
      <c r="N976" s="809"/>
      <c r="O976" s="809"/>
      <c r="P976" s="809"/>
      <c r="Q976" s="809"/>
      <c r="R976" s="675"/>
      <c r="S976" s="675"/>
      <c r="T976" s="675"/>
      <c r="U976" s="678"/>
      <c r="V976" s="679"/>
      <c r="W976" s="675"/>
      <c r="X976" s="675"/>
      <c r="Y976" s="675"/>
      <c r="Z976" s="675"/>
    </row>
    <row r="977">
      <c r="A977" s="675"/>
      <c r="B977" s="677"/>
      <c r="C977" s="807"/>
      <c r="D977" s="808"/>
      <c r="E977" s="693"/>
      <c r="F977" s="809"/>
      <c r="G977" s="809"/>
      <c r="H977" s="809"/>
      <c r="I977" s="809"/>
      <c r="J977" s="809"/>
      <c r="K977" s="809"/>
      <c r="L977" s="809"/>
      <c r="M977" s="809"/>
      <c r="N977" s="809"/>
      <c r="O977" s="809"/>
      <c r="P977" s="809"/>
      <c r="Q977" s="809"/>
      <c r="R977" s="675"/>
      <c r="S977" s="675"/>
      <c r="T977" s="675"/>
      <c r="U977" s="678"/>
      <c r="V977" s="679"/>
      <c r="W977" s="675"/>
      <c r="X977" s="675"/>
      <c r="Y977" s="675"/>
      <c r="Z977" s="675"/>
    </row>
    <row r="978">
      <c r="A978" s="675"/>
      <c r="B978" s="677"/>
      <c r="C978" s="807"/>
      <c r="D978" s="808"/>
      <c r="E978" s="693"/>
      <c r="F978" s="809"/>
      <c r="G978" s="809"/>
      <c r="H978" s="809"/>
      <c r="I978" s="809"/>
      <c r="J978" s="809"/>
      <c r="K978" s="809"/>
      <c r="L978" s="809"/>
      <c r="M978" s="809"/>
      <c r="N978" s="809"/>
      <c r="O978" s="809"/>
      <c r="P978" s="809"/>
      <c r="Q978" s="809"/>
      <c r="R978" s="675"/>
      <c r="S978" s="675"/>
      <c r="T978" s="675"/>
      <c r="U978" s="678"/>
      <c r="V978" s="679"/>
      <c r="W978" s="675"/>
      <c r="X978" s="675"/>
      <c r="Y978" s="675"/>
      <c r="Z978" s="675"/>
    </row>
    <row r="979">
      <c r="A979" s="675"/>
      <c r="B979" s="677"/>
      <c r="C979" s="807"/>
      <c r="D979" s="808"/>
      <c r="E979" s="693"/>
      <c r="F979" s="809"/>
      <c r="G979" s="809"/>
      <c r="H979" s="809"/>
      <c r="I979" s="809"/>
      <c r="J979" s="809"/>
      <c r="K979" s="809"/>
      <c r="L979" s="809"/>
      <c r="M979" s="809"/>
      <c r="N979" s="809"/>
      <c r="O979" s="809"/>
      <c r="P979" s="809"/>
      <c r="Q979" s="809"/>
      <c r="R979" s="675"/>
      <c r="S979" s="675"/>
      <c r="T979" s="675"/>
      <c r="U979" s="678"/>
      <c r="V979" s="679"/>
      <c r="W979" s="675"/>
      <c r="X979" s="675"/>
      <c r="Y979" s="675"/>
      <c r="Z979" s="675"/>
    </row>
    <row r="980">
      <c r="A980" s="675"/>
      <c r="B980" s="677"/>
      <c r="C980" s="807"/>
      <c r="D980" s="808"/>
      <c r="E980" s="693"/>
      <c r="F980" s="809"/>
      <c r="G980" s="809"/>
      <c r="H980" s="809"/>
      <c r="I980" s="809"/>
      <c r="J980" s="809"/>
      <c r="K980" s="809"/>
      <c r="L980" s="809"/>
      <c r="M980" s="809"/>
      <c r="N980" s="809"/>
      <c r="O980" s="809"/>
      <c r="P980" s="809"/>
      <c r="Q980" s="809"/>
      <c r="R980" s="675"/>
      <c r="S980" s="675"/>
      <c r="T980" s="675"/>
      <c r="U980" s="678"/>
      <c r="V980" s="679"/>
      <c r="W980" s="675"/>
      <c r="X980" s="675"/>
      <c r="Y980" s="675"/>
      <c r="Z980" s="675"/>
    </row>
    <row r="981">
      <c r="A981" s="675"/>
      <c r="B981" s="677"/>
      <c r="C981" s="807"/>
      <c r="D981" s="808"/>
      <c r="E981" s="693"/>
      <c r="F981" s="809"/>
      <c r="G981" s="809"/>
      <c r="H981" s="809"/>
      <c r="I981" s="809"/>
      <c r="J981" s="809"/>
      <c r="K981" s="809"/>
      <c r="L981" s="809"/>
      <c r="M981" s="809"/>
      <c r="N981" s="809"/>
      <c r="O981" s="809"/>
      <c r="P981" s="809"/>
      <c r="Q981" s="809"/>
      <c r="R981" s="675"/>
      <c r="S981" s="675"/>
      <c r="T981" s="675"/>
      <c r="U981" s="678"/>
      <c r="V981" s="679"/>
      <c r="W981" s="675"/>
      <c r="X981" s="675"/>
      <c r="Y981" s="675"/>
      <c r="Z981" s="675"/>
    </row>
    <row r="982">
      <c r="A982" s="675"/>
      <c r="B982" s="677"/>
      <c r="C982" s="807"/>
      <c r="D982" s="808"/>
      <c r="E982" s="693"/>
      <c r="F982" s="809"/>
      <c r="G982" s="809"/>
      <c r="H982" s="809"/>
      <c r="I982" s="809"/>
      <c r="J982" s="809"/>
      <c r="K982" s="809"/>
      <c r="L982" s="809"/>
      <c r="M982" s="809"/>
      <c r="N982" s="809"/>
      <c r="O982" s="809"/>
      <c r="P982" s="809"/>
      <c r="Q982" s="809"/>
      <c r="R982" s="675"/>
      <c r="S982" s="675"/>
      <c r="T982" s="675"/>
      <c r="U982" s="678"/>
      <c r="V982" s="679"/>
      <c r="W982" s="675"/>
      <c r="X982" s="675"/>
      <c r="Y982" s="675"/>
      <c r="Z982" s="675"/>
    </row>
    <row r="983">
      <c r="A983" s="675"/>
      <c r="B983" s="677"/>
      <c r="C983" s="807"/>
      <c r="D983" s="808"/>
      <c r="E983" s="693"/>
      <c r="F983" s="809"/>
      <c r="G983" s="809"/>
      <c r="H983" s="809"/>
      <c r="I983" s="809"/>
      <c r="J983" s="809"/>
      <c r="K983" s="809"/>
      <c r="L983" s="809"/>
      <c r="M983" s="809"/>
      <c r="N983" s="809"/>
      <c r="O983" s="809"/>
      <c r="P983" s="809"/>
      <c r="Q983" s="809"/>
      <c r="R983" s="675"/>
      <c r="S983" s="675"/>
      <c r="T983" s="675"/>
      <c r="U983" s="678"/>
      <c r="V983" s="679"/>
      <c r="W983" s="675"/>
      <c r="X983" s="675"/>
      <c r="Y983" s="675"/>
      <c r="Z983" s="675"/>
    </row>
    <row r="984">
      <c r="A984" s="675"/>
      <c r="B984" s="677"/>
      <c r="C984" s="807"/>
      <c r="D984" s="808"/>
      <c r="E984" s="693"/>
      <c r="F984" s="809"/>
      <c r="G984" s="809"/>
      <c r="H984" s="809"/>
      <c r="I984" s="809"/>
      <c r="J984" s="809"/>
      <c r="K984" s="809"/>
      <c r="L984" s="809"/>
      <c r="M984" s="809"/>
      <c r="N984" s="809"/>
      <c r="O984" s="809"/>
      <c r="P984" s="809"/>
      <c r="Q984" s="809"/>
      <c r="R984" s="675"/>
      <c r="S984" s="675"/>
      <c r="T984" s="675"/>
      <c r="U984" s="678"/>
      <c r="V984" s="679"/>
      <c r="W984" s="675"/>
      <c r="X984" s="675"/>
      <c r="Y984" s="675"/>
      <c r="Z984" s="675"/>
    </row>
    <row r="985">
      <c r="A985" s="675"/>
      <c r="B985" s="677"/>
      <c r="C985" s="807"/>
      <c r="D985" s="808"/>
      <c r="E985" s="693"/>
      <c r="F985" s="809"/>
      <c r="G985" s="809"/>
      <c r="H985" s="809"/>
      <c r="I985" s="809"/>
      <c r="J985" s="809"/>
      <c r="K985" s="809"/>
      <c r="L985" s="809"/>
      <c r="M985" s="809"/>
      <c r="N985" s="809"/>
      <c r="O985" s="809"/>
      <c r="P985" s="809"/>
      <c r="Q985" s="809"/>
      <c r="R985" s="675"/>
      <c r="S985" s="675"/>
      <c r="T985" s="675"/>
      <c r="U985" s="678"/>
      <c r="V985" s="679"/>
      <c r="W985" s="675"/>
      <c r="X985" s="675"/>
      <c r="Y985" s="675"/>
      <c r="Z985" s="675"/>
    </row>
    <row r="986">
      <c r="A986" s="675"/>
      <c r="B986" s="677"/>
      <c r="C986" s="807"/>
      <c r="D986" s="808"/>
      <c r="E986" s="693"/>
      <c r="F986" s="809"/>
      <c r="G986" s="809"/>
      <c r="H986" s="809"/>
      <c r="I986" s="809"/>
      <c r="J986" s="809"/>
      <c r="K986" s="809"/>
      <c r="L986" s="809"/>
      <c r="M986" s="809"/>
      <c r="N986" s="809"/>
      <c r="O986" s="809"/>
      <c r="P986" s="809"/>
      <c r="Q986" s="809"/>
      <c r="R986" s="675"/>
      <c r="S986" s="675"/>
      <c r="T986" s="675"/>
      <c r="U986" s="678"/>
      <c r="V986" s="679"/>
      <c r="W986" s="675"/>
      <c r="X986" s="675"/>
      <c r="Y986" s="675"/>
      <c r="Z986" s="675"/>
    </row>
    <row r="987">
      <c r="A987" s="675"/>
      <c r="B987" s="677"/>
      <c r="C987" s="807"/>
      <c r="D987" s="808"/>
      <c r="E987" s="693"/>
      <c r="F987" s="809"/>
      <c r="G987" s="809"/>
      <c r="H987" s="809"/>
      <c r="I987" s="809"/>
      <c r="J987" s="809"/>
      <c r="K987" s="809"/>
      <c r="L987" s="809"/>
      <c r="M987" s="809"/>
      <c r="N987" s="809"/>
      <c r="O987" s="809"/>
      <c r="P987" s="809"/>
      <c r="Q987" s="809"/>
      <c r="R987" s="675"/>
      <c r="S987" s="675"/>
      <c r="T987" s="675"/>
      <c r="U987" s="678"/>
      <c r="V987" s="679"/>
      <c r="W987" s="675"/>
      <c r="X987" s="675"/>
      <c r="Y987" s="675"/>
      <c r="Z987" s="675"/>
    </row>
    <row r="988">
      <c r="A988" s="675"/>
      <c r="B988" s="677"/>
      <c r="C988" s="807"/>
      <c r="D988" s="808"/>
      <c r="E988" s="693"/>
      <c r="F988" s="809"/>
      <c r="G988" s="809"/>
      <c r="H988" s="809"/>
      <c r="I988" s="809"/>
      <c r="J988" s="809"/>
      <c r="K988" s="809"/>
      <c r="L988" s="809"/>
      <c r="M988" s="809"/>
      <c r="N988" s="809"/>
      <c r="O988" s="809"/>
      <c r="P988" s="809"/>
      <c r="Q988" s="809"/>
      <c r="R988" s="675"/>
      <c r="S988" s="675"/>
      <c r="T988" s="675"/>
      <c r="U988" s="678"/>
      <c r="V988" s="679"/>
      <c r="W988" s="675"/>
      <c r="X988" s="675"/>
      <c r="Y988" s="675"/>
      <c r="Z988" s="675"/>
    </row>
    <row r="989">
      <c r="A989" s="675"/>
      <c r="B989" s="677"/>
      <c r="C989" s="807"/>
      <c r="D989" s="808"/>
      <c r="E989" s="693"/>
      <c r="F989" s="809"/>
      <c r="G989" s="809"/>
      <c r="H989" s="809"/>
      <c r="I989" s="809"/>
      <c r="J989" s="809"/>
      <c r="K989" s="809"/>
      <c r="L989" s="809"/>
      <c r="M989" s="809"/>
      <c r="N989" s="809"/>
      <c r="O989" s="809"/>
      <c r="P989" s="809"/>
      <c r="Q989" s="809"/>
      <c r="R989" s="675"/>
      <c r="S989" s="675"/>
      <c r="T989" s="675"/>
      <c r="U989" s="678"/>
      <c r="V989" s="679"/>
      <c r="W989" s="675"/>
      <c r="X989" s="675"/>
      <c r="Y989" s="675"/>
      <c r="Z989" s="675"/>
    </row>
    <row r="990">
      <c r="A990" s="675"/>
      <c r="B990" s="677"/>
      <c r="C990" s="807"/>
      <c r="D990" s="808"/>
      <c r="E990" s="693"/>
      <c r="F990" s="809"/>
      <c r="G990" s="809"/>
      <c r="H990" s="809"/>
      <c r="I990" s="809"/>
      <c r="J990" s="809"/>
      <c r="K990" s="809"/>
      <c r="L990" s="809"/>
      <c r="M990" s="809"/>
      <c r="N990" s="809"/>
      <c r="O990" s="809"/>
      <c r="P990" s="809"/>
      <c r="Q990" s="809"/>
      <c r="R990" s="675"/>
      <c r="S990" s="675"/>
      <c r="T990" s="675"/>
      <c r="U990" s="678"/>
      <c r="V990" s="679"/>
      <c r="W990" s="675"/>
      <c r="X990" s="675"/>
      <c r="Y990" s="675"/>
      <c r="Z990" s="675"/>
    </row>
    <row r="991">
      <c r="A991" s="675"/>
      <c r="B991" s="677"/>
      <c r="C991" s="807"/>
      <c r="D991" s="808"/>
      <c r="E991" s="693"/>
      <c r="F991" s="809"/>
      <c r="G991" s="809"/>
      <c r="H991" s="809"/>
      <c r="I991" s="809"/>
      <c r="J991" s="809"/>
      <c r="K991" s="809"/>
      <c r="L991" s="809"/>
      <c r="M991" s="809"/>
      <c r="N991" s="809"/>
      <c r="O991" s="809"/>
      <c r="P991" s="809"/>
      <c r="Q991" s="809"/>
      <c r="R991" s="675"/>
      <c r="S991" s="675"/>
      <c r="T991" s="675"/>
      <c r="U991" s="678"/>
      <c r="V991" s="679"/>
      <c r="W991" s="675"/>
      <c r="X991" s="675"/>
      <c r="Y991" s="675"/>
      <c r="Z991" s="675"/>
    </row>
    <row r="992">
      <c r="A992" s="675"/>
      <c r="B992" s="677"/>
      <c r="C992" s="807"/>
      <c r="D992" s="808"/>
      <c r="E992" s="693"/>
      <c r="F992" s="809"/>
      <c r="G992" s="809"/>
      <c r="H992" s="809"/>
      <c r="I992" s="809"/>
      <c r="J992" s="809"/>
      <c r="K992" s="809"/>
      <c r="L992" s="809"/>
      <c r="M992" s="809"/>
      <c r="N992" s="809"/>
      <c r="O992" s="809"/>
      <c r="P992" s="809"/>
      <c r="Q992" s="809"/>
      <c r="R992" s="675"/>
      <c r="S992" s="675"/>
      <c r="T992" s="675"/>
      <c r="U992" s="678"/>
      <c r="V992" s="679"/>
      <c r="W992" s="675"/>
      <c r="X992" s="675"/>
      <c r="Y992" s="675"/>
      <c r="Z992" s="675"/>
    </row>
    <row r="993">
      <c r="A993" s="675"/>
      <c r="B993" s="677"/>
      <c r="C993" s="807"/>
      <c r="D993" s="808"/>
      <c r="E993" s="693"/>
      <c r="F993" s="809"/>
      <c r="G993" s="809"/>
      <c r="H993" s="809"/>
      <c r="I993" s="809"/>
      <c r="J993" s="809"/>
      <c r="K993" s="809"/>
      <c r="L993" s="809"/>
      <c r="M993" s="809"/>
      <c r="N993" s="809"/>
      <c r="O993" s="809"/>
      <c r="P993" s="809"/>
      <c r="Q993" s="809"/>
      <c r="R993" s="675"/>
      <c r="S993" s="675"/>
      <c r="T993" s="675"/>
      <c r="U993" s="678"/>
      <c r="V993" s="679"/>
      <c r="W993" s="675"/>
      <c r="X993" s="675"/>
      <c r="Y993" s="675"/>
      <c r="Z993" s="675"/>
    </row>
    <row r="994">
      <c r="A994" s="675"/>
      <c r="B994" s="677"/>
      <c r="C994" s="807"/>
      <c r="D994" s="808"/>
      <c r="E994" s="693"/>
      <c r="F994" s="809"/>
      <c r="G994" s="809"/>
      <c r="H994" s="809"/>
      <c r="I994" s="809"/>
      <c r="J994" s="809"/>
      <c r="K994" s="809"/>
      <c r="L994" s="809"/>
      <c r="M994" s="809"/>
      <c r="N994" s="809"/>
      <c r="O994" s="809"/>
      <c r="P994" s="809"/>
      <c r="Q994" s="809"/>
      <c r="R994" s="675"/>
      <c r="S994" s="675"/>
      <c r="T994" s="675"/>
      <c r="U994" s="678"/>
      <c r="V994" s="679"/>
      <c r="W994" s="675"/>
      <c r="X994" s="675"/>
      <c r="Y994" s="675"/>
      <c r="Z994" s="675"/>
    </row>
    <row r="995">
      <c r="A995" s="675"/>
      <c r="B995" s="677"/>
      <c r="C995" s="807"/>
      <c r="D995" s="808"/>
      <c r="E995" s="693"/>
      <c r="F995" s="809"/>
      <c r="G995" s="809"/>
      <c r="H995" s="809"/>
      <c r="I995" s="809"/>
      <c r="J995" s="809"/>
      <c r="K995" s="809"/>
      <c r="L995" s="809"/>
      <c r="M995" s="809"/>
      <c r="N995" s="809"/>
      <c r="O995" s="809"/>
      <c r="P995" s="809"/>
      <c r="Q995" s="809"/>
      <c r="R995" s="675"/>
      <c r="S995" s="675"/>
      <c r="T995" s="675"/>
      <c r="U995" s="678"/>
      <c r="V995" s="679"/>
      <c r="W995" s="675"/>
      <c r="X995" s="675"/>
      <c r="Y995" s="675"/>
      <c r="Z995" s="675"/>
    </row>
    <row r="996">
      <c r="A996" s="675"/>
      <c r="B996" s="677"/>
      <c r="C996" s="807"/>
      <c r="D996" s="808"/>
      <c r="E996" s="693"/>
      <c r="F996" s="809"/>
      <c r="G996" s="809"/>
      <c r="H996" s="809"/>
      <c r="I996" s="809"/>
      <c r="J996" s="809"/>
      <c r="K996" s="809"/>
      <c r="L996" s="809"/>
      <c r="M996" s="809"/>
      <c r="N996" s="809"/>
      <c r="O996" s="809"/>
      <c r="P996" s="809"/>
      <c r="Q996" s="809"/>
      <c r="R996" s="675"/>
      <c r="S996" s="675"/>
      <c r="T996" s="675"/>
      <c r="U996" s="678"/>
      <c r="V996" s="679"/>
      <c r="W996" s="675"/>
      <c r="X996" s="675"/>
      <c r="Y996" s="675"/>
      <c r="Z996" s="675"/>
    </row>
    <row r="997">
      <c r="A997" s="675"/>
      <c r="B997" s="677"/>
      <c r="C997" s="807"/>
      <c r="D997" s="808"/>
      <c r="E997" s="693"/>
      <c r="F997" s="809"/>
      <c r="G997" s="809"/>
      <c r="H997" s="809"/>
      <c r="I997" s="809"/>
      <c r="J997" s="809"/>
      <c r="K997" s="809"/>
      <c r="L997" s="809"/>
      <c r="M997" s="809"/>
      <c r="N997" s="809"/>
      <c r="O997" s="809"/>
      <c r="P997" s="809"/>
      <c r="Q997" s="809"/>
      <c r="R997" s="675"/>
      <c r="S997" s="675"/>
      <c r="T997" s="675"/>
      <c r="U997" s="678"/>
      <c r="V997" s="679"/>
      <c r="W997" s="675"/>
      <c r="X997" s="675"/>
      <c r="Y997" s="675"/>
      <c r="Z997" s="675"/>
    </row>
    <row r="998">
      <c r="A998" s="675"/>
      <c r="B998" s="677"/>
      <c r="C998" s="807"/>
      <c r="D998" s="808"/>
      <c r="E998" s="693"/>
      <c r="F998" s="809"/>
      <c r="G998" s="809"/>
      <c r="H998" s="809"/>
      <c r="I998" s="809"/>
      <c r="J998" s="809"/>
      <c r="K998" s="809"/>
      <c r="L998" s="809"/>
      <c r="M998" s="809"/>
      <c r="N998" s="809"/>
      <c r="O998" s="809"/>
      <c r="P998" s="809"/>
      <c r="Q998" s="809"/>
      <c r="R998" s="675"/>
      <c r="S998" s="675"/>
      <c r="T998" s="675"/>
      <c r="U998" s="678"/>
      <c r="V998" s="679"/>
      <c r="W998" s="675"/>
      <c r="X998" s="675"/>
      <c r="Y998" s="675"/>
      <c r="Z998" s="675"/>
    </row>
    <row r="999">
      <c r="A999" s="675"/>
      <c r="B999" s="677"/>
      <c r="C999" s="807"/>
      <c r="D999" s="808"/>
      <c r="E999" s="693"/>
      <c r="F999" s="809"/>
      <c r="G999" s="809"/>
      <c r="H999" s="809"/>
      <c r="I999" s="809"/>
      <c r="J999" s="809"/>
      <c r="K999" s="809"/>
      <c r="L999" s="809"/>
      <c r="M999" s="809"/>
      <c r="N999" s="809"/>
      <c r="O999" s="809"/>
      <c r="P999" s="809"/>
      <c r="Q999" s="809"/>
      <c r="R999" s="675"/>
      <c r="S999" s="675"/>
      <c r="T999" s="675"/>
      <c r="U999" s="678"/>
      <c r="V999" s="679"/>
      <c r="W999" s="675"/>
      <c r="X999" s="675"/>
      <c r="Y999" s="675"/>
      <c r="Z999" s="675"/>
    </row>
    <row r="1000">
      <c r="A1000" s="675"/>
      <c r="B1000" s="677"/>
      <c r="C1000" s="807"/>
      <c r="D1000" s="808"/>
      <c r="E1000" s="693"/>
      <c r="F1000" s="809"/>
      <c r="G1000" s="809"/>
      <c r="H1000" s="809"/>
      <c r="I1000" s="809"/>
      <c r="J1000" s="809"/>
      <c r="K1000" s="809"/>
      <c r="L1000" s="809"/>
      <c r="M1000" s="809"/>
      <c r="N1000" s="809"/>
      <c r="O1000" s="809"/>
      <c r="P1000" s="809"/>
      <c r="Q1000" s="809"/>
      <c r="R1000" s="675"/>
      <c r="S1000" s="675"/>
      <c r="T1000" s="675"/>
      <c r="U1000" s="678"/>
      <c r="V1000" s="679"/>
      <c r="W1000" s="675"/>
      <c r="X1000" s="675"/>
      <c r="Y1000" s="675"/>
      <c r="Z1000" s="675"/>
    </row>
    <row r="1001">
      <c r="A1001" s="675"/>
      <c r="B1001" s="677"/>
      <c r="C1001" s="807"/>
      <c r="D1001" s="808"/>
      <c r="E1001" s="693"/>
      <c r="F1001" s="809"/>
      <c r="G1001" s="809"/>
      <c r="H1001" s="809"/>
      <c r="I1001" s="809"/>
      <c r="J1001" s="809"/>
      <c r="K1001" s="809"/>
      <c r="L1001" s="809"/>
      <c r="M1001" s="809"/>
      <c r="N1001" s="809"/>
      <c r="O1001" s="809"/>
      <c r="P1001" s="809"/>
      <c r="Q1001" s="809"/>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538" t="s">
        <v>535</v>
      </c>
      <c r="C2" s="811"/>
      <c r="D2" s="811"/>
      <c r="E2" s="811"/>
      <c r="F2" s="811"/>
      <c r="G2" s="811"/>
      <c r="H2" s="811"/>
      <c r="I2" s="812"/>
      <c r="J2" s="813"/>
      <c r="K2" s="814"/>
      <c r="L2" s="815"/>
      <c r="M2" s="815"/>
      <c r="N2" s="815"/>
      <c r="O2" s="815"/>
      <c r="P2" s="815"/>
      <c r="Q2" s="815"/>
      <c r="R2" s="815"/>
      <c r="S2" s="815"/>
      <c r="T2" s="811"/>
      <c r="U2" s="815"/>
      <c r="V2" s="811"/>
      <c r="W2" s="815"/>
      <c r="X2" s="811"/>
      <c r="Y2" s="815"/>
      <c r="Z2" s="811"/>
      <c r="AA2" s="815"/>
      <c r="AB2" s="811"/>
      <c r="AC2" s="815"/>
      <c r="AD2" s="811"/>
      <c r="AE2" s="811"/>
      <c r="AF2" s="811"/>
      <c r="AG2" s="811"/>
      <c r="AH2" s="811"/>
    </row>
    <row r="3" ht="10.5" customHeight="1">
      <c r="A3" s="810"/>
      <c r="B3" s="811"/>
      <c r="C3" s="811"/>
      <c r="D3" s="811"/>
      <c r="E3" s="811"/>
      <c r="F3" s="811"/>
      <c r="G3" s="811"/>
      <c r="H3" s="811"/>
      <c r="I3" s="812"/>
      <c r="J3" s="813"/>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6" t="s">
        <v>536</v>
      </c>
      <c r="C4" s="817"/>
      <c r="D4" s="818" t="s">
        <v>537</v>
      </c>
      <c r="E4" s="811"/>
      <c r="F4" s="811"/>
      <c r="G4" s="811"/>
      <c r="H4" s="811"/>
      <c r="J4" s="813"/>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outlineLevel="1">
      <c r="A5" s="810"/>
      <c r="B5" s="819" t="s">
        <v>52</v>
      </c>
      <c r="C5" s="820" t="s">
        <v>84</v>
      </c>
      <c r="D5" s="821"/>
      <c r="E5" s="822" t="b">
        <v>0</v>
      </c>
      <c r="F5" s="820" t="s">
        <v>538</v>
      </c>
      <c r="G5" s="823"/>
      <c r="H5" s="824" t="b">
        <v>0</v>
      </c>
      <c r="J5" s="825"/>
      <c r="K5" s="810"/>
      <c r="L5" s="826" t="s">
        <v>539</v>
      </c>
      <c r="T5" s="825"/>
      <c r="U5" s="827" t="s">
        <v>540</v>
      </c>
      <c r="AC5" s="811"/>
      <c r="AD5" s="828" t="s">
        <v>96</v>
      </c>
      <c r="AE5" s="828" t="s">
        <v>541</v>
      </c>
      <c r="AF5" s="811"/>
      <c r="AG5" s="811"/>
      <c r="AH5" s="811"/>
    </row>
    <row r="6" ht="15.75" customHeight="1" outlineLevel="1">
      <c r="A6" s="810"/>
      <c r="B6" s="40"/>
      <c r="C6" s="40"/>
      <c r="D6" s="40"/>
      <c r="E6" s="40"/>
      <c r="F6" s="40"/>
      <c r="G6" s="40"/>
      <c r="H6" s="40"/>
      <c r="J6" s="825"/>
      <c r="K6" s="810"/>
      <c r="L6" s="829"/>
      <c r="M6" s="829"/>
      <c r="N6" s="829"/>
      <c r="O6" s="829"/>
      <c r="P6" s="829"/>
      <c r="Q6" s="829"/>
      <c r="R6" s="829"/>
      <c r="S6" s="829"/>
      <c r="T6" s="825"/>
      <c r="U6" s="830"/>
      <c r="V6" s="830"/>
      <c r="W6" s="830"/>
      <c r="X6" s="830"/>
      <c r="Y6" s="830"/>
      <c r="Z6" s="830"/>
      <c r="AA6" s="830"/>
      <c r="AB6" s="830"/>
      <c r="AC6" s="811"/>
      <c r="AD6" s="216" t="str">
        <f t="array" ref="AD6">IFERROR(INDEX('💻シート作成'!$D$6:$D205, MATCH(AE6, '💻シート作成'!$E$6:$E205, 0)), "")</f>
        <v/>
      </c>
      <c r="AE6" s="167" t="str">
        <f>IFERROR(__xludf.DUMMYFUNCTION("filter('💻シート作成'!E6:E205,'💻シート作成'!E6:E205&lt;&gt;"""")"),"💭口コミ")</f>
        <v>💭口コミ</v>
      </c>
      <c r="AF6" s="811"/>
      <c r="AG6" s="811"/>
      <c r="AH6" s="811"/>
    </row>
    <row r="7" ht="15.75" customHeight="1" outlineLevel="1">
      <c r="A7" s="810"/>
      <c r="J7" s="825"/>
      <c r="K7" s="810"/>
      <c r="L7" s="831" t="s">
        <v>542</v>
      </c>
      <c r="M7" s="224"/>
      <c r="N7" s="224"/>
      <c r="O7" s="224"/>
      <c r="P7" s="224"/>
      <c r="Q7" s="224"/>
      <c r="R7" s="224"/>
      <c r="S7" s="109"/>
      <c r="T7" s="832" t="s">
        <v>543</v>
      </c>
      <c r="U7" s="833" t="s">
        <v>544</v>
      </c>
      <c r="V7" s="220"/>
      <c r="W7" s="220"/>
      <c r="X7" s="220"/>
      <c r="Y7" s="220"/>
      <c r="Z7" s="220"/>
      <c r="AA7" s="220"/>
      <c r="AB7" s="5"/>
      <c r="AC7" s="811"/>
      <c r="AD7" s="216" t="str">
        <f t="array" ref="AD7">IFERROR(INDEX('💻シート作成'!$D$6:$D205, MATCH(AE7, '💻シート作成'!$E$6:$E205, 0)), "")</f>
        <v/>
      </c>
      <c r="AE7" s="167" t="str">
        <f>IFERROR(__xludf.DUMMYFUNCTION("""COMPUTED_VALUE"""),"🔵クレーム")</f>
        <v>🔵クレーム</v>
      </c>
      <c r="AF7" s="811"/>
      <c r="AG7" s="811"/>
      <c r="AH7" s="811"/>
    </row>
    <row r="8" ht="15.75" customHeight="1" outlineLevel="1">
      <c r="A8" s="810"/>
      <c r="B8" s="834" t="s">
        <v>545</v>
      </c>
      <c r="C8" s="835"/>
      <c r="D8" s="836" t="s">
        <v>51</v>
      </c>
      <c r="E8" s="837" t="str">
        <f>IFERROR(__xludf.DUMMYFUNCTION("IFERROR(INDEX(FILTER($AE$6:$AE$200, $AD$6:$AD$200=$B$5, REGEXMATCH($AE$6:$AE$200, ""集計"")), 1), """")
"),"①R8_2集計")</f>
        <v>①R8_2集計</v>
      </c>
      <c r="F8" s="533"/>
      <c r="G8" s="211"/>
      <c r="H8" s="211"/>
      <c r="I8" s="188"/>
      <c r="J8" s="825"/>
      <c r="K8" s="810"/>
      <c r="L8" s="838"/>
      <c r="M8" s="235"/>
      <c r="N8" s="235"/>
      <c r="O8" s="235"/>
      <c r="P8" s="235"/>
      <c r="Q8" s="235"/>
      <c r="R8" s="235"/>
      <c r="S8" s="238"/>
      <c r="U8" s="838"/>
      <c r="V8" s="235"/>
      <c r="W8" s="235"/>
      <c r="X8" s="235"/>
      <c r="Y8" s="235"/>
      <c r="Z8" s="235"/>
      <c r="AA8" s="235"/>
      <c r="AB8" s="238"/>
      <c r="AC8" s="811"/>
      <c r="AD8" s="216" t="str">
        <f t="array" ref="AD8">IFERROR(INDEX('💻シート作成'!$D$6:$D205, MATCH(AE8, '💻シート作成'!$E$6:$E205, 0)), "")</f>
        <v/>
      </c>
      <c r="AE8" s="167" t="str">
        <f>IFERROR(__xludf.DUMMYFUNCTION("""COMPUTED_VALUE"""),"✅安全チェック")</f>
        <v>✅安全チェック</v>
      </c>
      <c r="AF8" s="811"/>
      <c r="AG8" s="811"/>
      <c r="AH8" s="811"/>
    </row>
    <row r="9" ht="15.75" customHeight="1" outlineLevel="1">
      <c r="A9" s="810"/>
      <c r="B9" s="839" t="s">
        <v>314</v>
      </c>
      <c r="C9" s="840" t="s">
        <v>315</v>
      </c>
      <c r="D9" s="840" t="s">
        <v>316</v>
      </c>
      <c r="E9" s="841" t="s">
        <v>317</v>
      </c>
      <c r="F9" s="841" t="s">
        <v>318</v>
      </c>
      <c r="G9" s="840" t="s">
        <v>322</v>
      </c>
      <c r="H9" s="840" t="s">
        <v>323</v>
      </c>
      <c r="I9" s="841" t="s">
        <v>35</v>
      </c>
      <c r="J9" s="825"/>
      <c r="K9" s="810"/>
      <c r="L9" s="842"/>
      <c r="S9" s="206"/>
      <c r="U9" s="842"/>
      <c r="AB9" s="206"/>
      <c r="AC9" s="811"/>
      <c r="AD9" s="216" t="str">
        <f t="array" ref="AD9">IFERROR(INDEX('💻シート作成'!$D$6:$D205, MATCH(AE9, '💻シート作成'!$E$6:$E205, 0)), "")</f>
        <v/>
      </c>
      <c r="AE9" s="167" t="str">
        <f>IFERROR(__xludf.DUMMYFUNCTION("""COMPUTED_VALUE"""),"🏨ホテル月報")</f>
        <v>🏨ホテル月報</v>
      </c>
      <c r="AF9" s="811"/>
      <c r="AG9" s="811"/>
      <c r="AH9" s="811"/>
    </row>
    <row r="10" ht="15.75" customHeight="1" outlineLevel="1">
      <c r="A10" s="810"/>
      <c r="B10" s="843" t="s">
        <v>327</v>
      </c>
      <c r="C10" s="844">
        <f t="array" ref="C10">INDIRECT($E$8 &amp; "!C8")</f>
        <v>0.2825827569</v>
      </c>
      <c r="D10" s="844">
        <f t="array" ref="D10">INDIRECT($E$8 &amp; "!E8")</f>
        <v>0.5819738276</v>
      </c>
      <c r="E10" s="844">
        <f t="array" ref="E10">INDIRECT($E$8 &amp; "!G8")</f>
        <v>0.7971141582</v>
      </c>
      <c r="F10" s="845">
        <f t="array" ref="F10">INDIRECT($E$8 &amp; "!H8")</f>
        <v>11211550</v>
      </c>
      <c r="G10" s="845">
        <f t="array" ref="G10">INDIRECT($E$8 &amp; "!K8")</f>
        <v>141999</v>
      </c>
      <c r="H10" s="845">
        <f t="array" ref="H10">INDIRECT($E$8 &amp; "!M8")</f>
        <v>3168190.708</v>
      </c>
      <c r="I10" s="844">
        <f t="array" ref="I10">INDIRECT($E$8 &amp; "!AT7")</f>
        <v>0.000853970965</v>
      </c>
      <c r="J10" s="825"/>
      <c r="K10" s="810"/>
      <c r="L10" s="842"/>
      <c r="S10" s="206"/>
      <c r="U10" s="842"/>
      <c r="AB10" s="206"/>
      <c r="AC10" s="811"/>
      <c r="AD10" s="216" t="str">
        <f t="array" ref="AD10">IFERROR(INDEX('💻シート作成'!$D$6:$D205, MATCH(AE10, '💻シート作成'!$E$6:$E205, 0)), "")</f>
        <v>1月</v>
      </c>
      <c r="AE10" s="168" t="str">
        <f>IFERROR(__xludf.DUMMYFUNCTION("""COMPUTED_VALUE"""),"①R9_1集計")</f>
        <v>①R9_1集計</v>
      </c>
      <c r="AF10" s="811"/>
      <c r="AG10" s="811"/>
      <c r="AH10" s="811"/>
    </row>
    <row r="11" ht="15.75" customHeight="1" outlineLevel="1">
      <c r="A11" s="810"/>
      <c r="B11" s="846" t="s">
        <v>36</v>
      </c>
      <c r="C11" s="847">
        <f t="array" ref="C11">INDIRECT($E$8 &amp; "!C7")</f>
        <v>0.2719620281</v>
      </c>
      <c r="D11" s="848"/>
      <c r="E11" s="849"/>
      <c r="F11" s="850">
        <f t="array" ref="F11">INDIRECT($E$8 &amp; "!H7")</f>
        <v>10990334</v>
      </c>
      <c r="G11" s="848"/>
      <c r="H11" s="851">
        <f t="array" ref="H11">INDIRECT($E$8 &amp; "!M7")</f>
        <v>2988953.524</v>
      </c>
      <c r="I11" s="852">
        <v>0.0015</v>
      </c>
      <c r="J11" s="853"/>
      <c r="K11" s="810"/>
      <c r="L11" s="842"/>
      <c r="S11" s="206"/>
      <c r="U11" s="842"/>
      <c r="AB11" s="206"/>
      <c r="AC11" s="811"/>
      <c r="AD11" s="216" t="str">
        <f t="array" ref="AD11">IFERROR(INDEX('💻シート作成'!$D$6:$D205, MATCH(AE11, '💻シート作成'!$E$6:$E205, 0)), "")</f>
        <v>1月</v>
      </c>
      <c r="AE11" s="168" t="str">
        <f>IFERROR(__xludf.DUMMYFUNCTION("""COMPUTED_VALUE"""),"②R9_1シフト")</f>
        <v>②R9_1シフト</v>
      </c>
      <c r="AF11" s="811"/>
      <c r="AG11" s="811"/>
      <c r="AH11" s="811"/>
    </row>
    <row r="12" ht="15.75" customHeight="1" outlineLevel="1">
      <c r="A12" s="810"/>
      <c r="B12" s="188"/>
      <c r="C12" s="188"/>
      <c r="D12" s="188"/>
      <c r="E12" s="188"/>
      <c r="F12" s="188"/>
      <c r="G12" s="188"/>
      <c r="H12" s="188"/>
      <c r="I12" s="811"/>
      <c r="J12" s="853"/>
      <c r="K12" s="810"/>
      <c r="L12" s="842"/>
      <c r="S12" s="206"/>
      <c r="U12" s="842"/>
      <c r="AB12" s="206"/>
      <c r="AC12" s="811"/>
      <c r="AD12" s="216" t="str">
        <f t="array" ref="AD12">IFERROR(INDEX('💻シート作成'!$D$6:$D205, MATCH(AE12, '💻シート作成'!$E$6:$E205, 0)), "")</f>
        <v>1月</v>
      </c>
      <c r="AE12" s="168" t="str">
        <f>IFERROR(__xludf.DUMMYFUNCTION("""COMPUTED_VALUE"""),"③R9_1日報")</f>
        <v>③R9_1日報</v>
      </c>
      <c r="AF12" s="811"/>
      <c r="AG12" s="811"/>
      <c r="AH12" s="811"/>
    </row>
    <row r="13" ht="15.75" customHeight="1" outlineLevel="1">
      <c r="A13" s="810"/>
      <c r="B13" s="854" t="s">
        <v>546</v>
      </c>
      <c r="C13" s="855"/>
      <c r="D13" s="856" t="s">
        <v>51</v>
      </c>
      <c r="E13" s="857" t="s">
        <v>547</v>
      </c>
      <c r="F13" s="188"/>
      <c r="G13" s="188"/>
      <c r="H13" s="858" t="s">
        <v>35</v>
      </c>
      <c r="I13" s="927">
        <f t="array" ref="I13">xlookup($B$5,'🔵クレーム'!$C$10:$C$21,'🔵クレーム'!X$10:X$21)</f>
        <v>0.000853970965</v>
      </c>
      <c r="J13" s="853"/>
      <c r="K13" s="810"/>
      <c r="L13" s="842"/>
      <c r="S13" s="206"/>
      <c r="U13" s="842"/>
      <c r="AB13" s="206"/>
      <c r="AC13" s="811"/>
      <c r="AD13" s="216" t="str">
        <f t="array" ref="AD13">IFERROR(INDEX('💻シート作成'!$D$6:$D205, MATCH(AE13, '💻シート作成'!$E$6:$E205, 0)), "")</f>
        <v>1月</v>
      </c>
      <c r="AE13" s="168" t="str">
        <f>IFERROR(__xludf.DUMMYFUNCTION("""COMPUTED_VALUE"""),"④R9_1月報")</f>
        <v>④R9_1月報</v>
      </c>
      <c r="AF13" s="811"/>
      <c r="AG13" s="811"/>
      <c r="AH13" s="811"/>
    </row>
    <row r="14" ht="15.75" customHeight="1" outlineLevel="1">
      <c r="A14" s="810"/>
      <c r="B14" s="841" t="s">
        <v>24</v>
      </c>
      <c r="C14" s="841" t="s">
        <v>25</v>
      </c>
      <c r="D14" s="860" t="s">
        <v>26</v>
      </c>
      <c r="E14" s="860" t="s">
        <v>38</v>
      </c>
      <c r="F14" s="841" t="s">
        <v>39</v>
      </c>
      <c r="G14" s="841" t="s">
        <v>40</v>
      </c>
      <c r="H14" s="841" t="s">
        <v>41</v>
      </c>
      <c r="I14" s="861" t="s">
        <v>548</v>
      </c>
      <c r="J14" s="853"/>
      <c r="K14" s="810"/>
      <c r="L14" s="842"/>
      <c r="S14" s="206"/>
      <c r="U14" s="842"/>
      <c r="AB14" s="206"/>
      <c r="AC14" s="811"/>
      <c r="AD14" s="216" t="str">
        <f t="array" ref="AD14">IFERROR(INDEX('💻シート作成'!$D$6:$D205, MATCH(AE14, '💻シート作成'!$E$6:$E205, 0)), "")</f>
        <v>12月</v>
      </c>
      <c r="AE14" s="168" t="str">
        <f>IFERROR(__xludf.DUMMYFUNCTION("""COMPUTED_VALUE"""),"①R8_12集計")</f>
        <v>①R8_12集計</v>
      </c>
      <c r="AF14" s="811"/>
      <c r="AG14" s="811"/>
      <c r="AH14" s="811"/>
    </row>
    <row r="15" ht="15.75" customHeight="1" outlineLevel="1">
      <c r="A15" s="810"/>
      <c r="B15" s="862">
        <f t="array" ref="B15">xlookup($B$5,'🔵クレーム'!$C$10:$C$21,'🔵クレーム'!D$10:D$21)</f>
        <v>1</v>
      </c>
      <c r="C15" s="862">
        <f t="array" ref="C15">xlookup($B$5,'🔵クレーム'!$C$10:$C$21,'🔵クレーム'!E$10:E$21)</f>
        <v>0</v>
      </c>
      <c r="D15" s="862">
        <f t="array" ref="D15">xlookup($B$5,'🔵クレーム'!$C$10:$C$21,'🔵クレーム'!F$10:F$21)</f>
        <v>0</v>
      </c>
      <c r="E15" s="862">
        <f t="array" ref="E15">xlookup($B$5,'🔵クレーム'!$C$10:$C$21,'🔵クレーム'!G$10:G$21)</f>
        <v>1</v>
      </c>
      <c r="F15" s="862">
        <f t="array" ref="F15">xlookup($B$5,'🔵クレーム'!$C$10:$C$21,'🔵クレーム'!H$10:H$21)</f>
        <v>3</v>
      </c>
      <c r="G15" s="862">
        <f t="array" ref="G15">xlookup($B$5,'🔵クレーム'!$C$10:$C$21,'🔵クレーム'!I$10:I$21)</f>
        <v>3</v>
      </c>
      <c r="H15" s="862">
        <f t="array" ref="H15">xlookup($B$5,'🔵クレーム'!$C$10:$C$21,'🔵クレーム'!J$10:J$21)</f>
        <v>0</v>
      </c>
      <c r="I15" s="863"/>
      <c r="J15" s="853"/>
      <c r="K15" s="810"/>
      <c r="L15" s="842"/>
      <c r="S15" s="206"/>
      <c r="U15" s="842"/>
      <c r="AB15" s="206"/>
      <c r="AC15" s="811"/>
      <c r="AD15" s="216" t="str">
        <f t="array" ref="AD15">IFERROR(INDEX('💻シート作成'!$D$6:$D205, MATCH(AE15, '💻シート作成'!$E$6:$E205, 0)), "")</f>
        <v>12月</v>
      </c>
      <c r="AE15" s="168" t="str">
        <f>IFERROR(__xludf.DUMMYFUNCTION("""COMPUTED_VALUE"""),"②R8_12シフト")</f>
        <v>②R8_12シフト</v>
      </c>
      <c r="AF15" s="811"/>
      <c r="AG15" s="811"/>
      <c r="AH15" s="811"/>
    </row>
    <row r="16" ht="15.75" customHeight="1" outlineLevel="1">
      <c r="A16" s="810"/>
      <c r="B16" s="841" t="s">
        <v>42</v>
      </c>
      <c r="C16" s="841" t="s">
        <v>43</v>
      </c>
      <c r="D16" s="860" t="s">
        <v>44</v>
      </c>
      <c r="E16" s="860" t="s">
        <v>45</v>
      </c>
      <c r="F16" s="841" t="s">
        <v>46</v>
      </c>
      <c r="G16" s="841" t="s">
        <v>31</v>
      </c>
      <c r="H16" s="864"/>
      <c r="I16" s="865">
        <f>sum(B15:H17)</f>
        <v>9</v>
      </c>
      <c r="J16" s="853"/>
      <c r="K16" s="810"/>
      <c r="L16" s="842"/>
      <c r="S16" s="206"/>
      <c r="U16" s="842"/>
      <c r="AB16" s="206"/>
      <c r="AC16" s="811"/>
      <c r="AD16" s="216" t="str">
        <f t="array" ref="AD16">IFERROR(INDEX('💻シート作成'!$D$6:$D205, MATCH(AE16, '💻シート作成'!$E$6:$E205, 0)), "")</f>
        <v>12月</v>
      </c>
      <c r="AE16" s="168" t="str">
        <f>IFERROR(__xludf.DUMMYFUNCTION("""COMPUTED_VALUE"""),"③R8_12日報")</f>
        <v>③R8_12日報</v>
      </c>
      <c r="AF16" s="811"/>
      <c r="AG16" s="811"/>
      <c r="AH16" s="811"/>
    </row>
    <row r="17" ht="15.75" customHeight="1" outlineLevel="1">
      <c r="A17" s="810"/>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1</v>
      </c>
      <c r="H17" s="866"/>
      <c r="I17" s="867"/>
      <c r="J17" s="853"/>
      <c r="K17" s="810"/>
      <c r="L17" s="842"/>
      <c r="S17" s="206"/>
      <c r="U17" s="842"/>
      <c r="AB17" s="206"/>
      <c r="AC17" s="811"/>
      <c r="AD17" s="216" t="str">
        <f t="array" ref="AD17">IFERROR(INDEX('💻シート作成'!$D$6:$D205, MATCH(AE17, '💻シート作成'!$E$6:$E205, 0)), "")</f>
        <v>12月</v>
      </c>
      <c r="AE17" s="168" t="str">
        <f>IFERROR(__xludf.DUMMYFUNCTION("""COMPUTED_VALUE"""),"④R8_12月報")</f>
        <v>④R8_12月報</v>
      </c>
      <c r="AF17" s="811"/>
      <c r="AG17" s="811"/>
      <c r="AH17" s="811"/>
    </row>
    <row r="18" ht="15.75" customHeight="1" outlineLevel="1">
      <c r="A18" s="810"/>
      <c r="B18" s="188"/>
      <c r="C18" s="188"/>
      <c r="D18" s="188"/>
      <c r="E18" s="188"/>
      <c r="F18" s="188"/>
      <c r="G18" s="188"/>
      <c r="H18" s="188"/>
      <c r="I18" s="188"/>
      <c r="J18" s="853"/>
      <c r="K18" s="810"/>
      <c r="L18" s="842"/>
      <c r="S18" s="206"/>
      <c r="U18" s="842"/>
      <c r="AB18" s="206"/>
      <c r="AC18" s="811"/>
      <c r="AD18" s="216" t="str">
        <f t="array" ref="AD18">IFERROR(INDEX('💻シート作成'!$D$6:$D205, MATCH(AE18, '💻シート作成'!$E$6:$E205, 0)), "")</f>
        <v>11月</v>
      </c>
      <c r="AE18" s="168" t="str">
        <f>IFERROR(__xludf.DUMMYFUNCTION("""COMPUTED_VALUE"""),"①R8_11集計")</f>
        <v>①R8_11集計</v>
      </c>
      <c r="AF18" s="811"/>
      <c r="AG18" s="811"/>
      <c r="AH18" s="811"/>
    </row>
    <row r="19" ht="15.75" customHeight="1" outlineLevel="1">
      <c r="A19" s="810"/>
      <c r="B19" s="868" t="s">
        <v>549</v>
      </c>
      <c r="C19" s="869"/>
      <c r="D19" s="870"/>
      <c r="E19" s="871"/>
      <c r="F19" s="871"/>
      <c r="G19" s="871"/>
      <c r="H19" s="871"/>
      <c r="I19" s="188"/>
      <c r="J19" s="825"/>
      <c r="K19" s="810"/>
      <c r="L19" s="606"/>
      <c r="M19" s="224"/>
      <c r="N19" s="224"/>
      <c r="O19" s="224"/>
      <c r="P19" s="224"/>
      <c r="Q19" s="224"/>
      <c r="R19" s="224"/>
      <c r="S19" s="109"/>
      <c r="U19" s="606"/>
      <c r="V19" s="224"/>
      <c r="W19" s="224"/>
      <c r="X19" s="224"/>
      <c r="Y19" s="224"/>
      <c r="Z19" s="224"/>
      <c r="AA19" s="224"/>
      <c r="AB19" s="109"/>
      <c r="AC19" s="811"/>
      <c r="AD19" s="216" t="str">
        <f t="array" ref="AD19">IFERROR(INDEX('💻シート作成'!$D$6:$D205, MATCH(AE19, '💻シート作成'!$E$6:$E205, 0)), "")</f>
        <v>11月</v>
      </c>
      <c r="AE19" s="168" t="str">
        <f>IFERROR(__xludf.DUMMYFUNCTION("""COMPUTED_VALUE"""),"②R8_11シフト")</f>
        <v>②R8_11シフト</v>
      </c>
      <c r="AF19" s="811"/>
      <c r="AG19" s="811"/>
      <c r="AH19" s="811"/>
    </row>
    <row r="20" ht="15.75" customHeight="1" outlineLevel="1">
      <c r="A20" s="810"/>
      <c r="B20" s="841" t="s">
        <v>550</v>
      </c>
      <c r="C20" s="841" t="s">
        <v>551</v>
      </c>
      <c r="D20" s="841" t="s">
        <v>89</v>
      </c>
      <c r="E20" s="841" t="s">
        <v>90</v>
      </c>
      <c r="F20" s="841" t="s">
        <v>552</v>
      </c>
      <c r="G20" s="841" t="s">
        <v>465</v>
      </c>
      <c r="H20" s="841" t="s">
        <v>465</v>
      </c>
      <c r="I20" s="841" t="s">
        <v>553</v>
      </c>
      <c r="J20" s="825"/>
      <c r="K20" s="810"/>
      <c r="L20" s="872"/>
      <c r="M20" s="872"/>
      <c r="N20" s="872"/>
      <c r="O20" s="872"/>
      <c r="P20" s="872"/>
      <c r="Q20" s="872"/>
      <c r="R20" s="872"/>
      <c r="S20" s="872"/>
      <c r="T20" s="825"/>
      <c r="U20" s="872"/>
      <c r="V20" s="872"/>
      <c r="W20" s="872"/>
      <c r="X20" s="872"/>
      <c r="Y20" s="872"/>
      <c r="Z20" s="872"/>
      <c r="AA20" s="872"/>
      <c r="AB20" s="872"/>
      <c r="AC20" s="811"/>
      <c r="AD20" s="216" t="str">
        <f t="array" ref="AD20">IFERROR(INDEX('💻シート作成'!$D$6:$D205, MATCH(AE20, '💻シート作成'!$E$6:$E205, 0)), "")</f>
        <v>11月</v>
      </c>
      <c r="AE20" s="168" t="str">
        <f>IFERROR(__xludf.DUMMYFUNCTION("""COMPUTED_VALUE"""),"③R8_11日報")</f>
        <v>③R8_11日報</v>
      </c>
      <c r="AF20" s="811"/>
      <c r="AG20" s="811"/>
      <c r="AH20" s="811"/>
    </row>
    <row r="21" ht="15.75" customHeight="1" outlineLevel="1">
      <c r="A21" s="810"/>
      <c r="B21" s="873"/>
      <c r="C21" s="873"/>
      <c r="D21" s="873"/>
      <c r="E21" s="873"/>
      <c r="F21" s="874"/>
      <c r="G21" s="874"/>
      <c r="H21" s="874"/>
      <c r="I21" s="875">
        <f>sum(B21:G21)</f>
        <v>0</v>
      </c>
      <c r="J21" s="825"/>
      <c r="K21" s="810"/>
      <c r="L21" s="876" t="s">
        <v>554</v>
      </c>
      <c r="M21" s="220"/>
      <c r="N21" s="220"/>
      <c r="O21" s="220"/>
      <c r="P21" s="220"/>
      <c r="Q21" s="220"/>
      <c r="R21" s="220"/>
      <c r="S21" s="5"/>
      <c r="T21" s="832" t="s">
        <v>543</v>
      </c>
      <c r="U21" s="833" t="s">
        <v>555</v>
      </c>
      <c r="V21" s="220"/>
      <c r="W21" s="220"/>
      <c r="X21" s="220"/>
      <c r="Y21" s="220"/>
      <c r="Z21" s="220"/>
      <c r="AA21" s="220"/>
      <c r="AB21" s="5"/>
      <c r="AC21" s="811"/>
      <c r="AD21" s="216" t="str">
        <f t="array" ref="AD21">IFERROR(INDEX('💻シート作成'!$D$6:$D205, MATCH(AE21, '💻シート作成'!$E$6:$E205, 0)), "")</f>
        <v>11月</v>
      </c>
      <c r="AE21" s="168" t="str">
        <f>IFERROR(__xludf.DUMMYFUNCTION("""COMPUTED_VALUE"""),"④R8_11月報")</f>
        <v>④R8_11月報</v>
      </c>
      <c r="AF21" s="811"/>
      <c r="AG21" s="811"/>
      <c r="AH21" s="811"/>
    </row>
    <row r="22" ht="15.75" customHeight="1" outlineLevel="1">
      <c r="A22" s="810"/>
      <c r="B22" s="868"/>
      <c r="C22" s="220"/>
      <c r="D22" s="220"/>
      <c r="E22" s="220"/>
      <c r="F22" s="220"/>
      <c r="G22" s="220"/>
      <c r="H22" s="220"/>
      <c r="I22" s="5"/>
      <c r="J22" s="825"/>
      <c r="K22" s="810"/>
      <c r="L22" s="838"/>
      <c r="M22" s="235"/>
      <c r="N22" s="235"/>
      <c r="O22" s="235"/>
      <c r="P22" s="235"/>
      <c r="Q22" s="235"/>
      <c r="R22" s="235"/>
      <c r="S22" s="238"/>
      <c r="U22" s="838"/>
      <c r="V22" s="235"/>
      <c r="W22" s="235"/>
      <c r="X22" s="235"/>
      <c r="Y22" s="235"/>
      <c r="Z22" s="235"/>
      <c r="AA22" s="235"/>
      <c r="AB22" s="238"/>
      <c r="AC22" s="811"/>
      <c r="AD22" s="216" t="str">
        <f t="array" ref="AD22">IFERROR(INDEX('💻シート作成'!$D$6:$D205, MATCH(AE22, '💻シート作成'!$E$6:$E205, 0)), "")</f>
        <v>10月</v>
      </c>
      <c r="AE22" s="168" t="str">
        <f>IFERROR(__xludf.DUMMYFUNCTION("""COMPUTED_VALUE"""),"①R8_10集計")</f>
        <v>①R8_10集計</v>
      </c>
      <c r="AF22" s="811"/>
      <c r="AG22" s="811"/>
      <c r="AH22" s="811"/>
    </row>
    <row r="23" ht="15.75" customHeight="1" outlineLevel="1">
      <c r="A23" s="810"/>
      <c r="B23" s="188"/>
      <c r="C23" s="188"/>
      <c r="D23" s="188"/>
      <c r="E23" s="188"/>
      <c r="F23" s="188"/>
      <c r="G23" s="188"/>
      <c r="H23" s="188"/>
      <c r="I23" s="188"/>
      <c r="J23" s="825"/>
      <c r="K23" s="810"/>
      <c r="L23" s="842"/>
      <c r="S23" s="206"/>
      <c r="U23" s="842"/>
      <c r="AB23" s="206"/>
      <c r="AC23" s="811"/>
      <c r="AD23" s="216" t="str">
        <f t="array" ref="AD23">IFERROR(INDEX('💻シート作成'!$D$6:$D205, MATCH(AE23, '💻シート作成'!$E$6:$E205, 0)), "")</f>
        <v>10月</v>
      </c>
      <c r="AE23" s="168" t="str">
        <f>IFERROR(__xludf.DUMMYFUNCTION("""COMPUTED_VALUE"""),"②R8_10シフト")</f>
        <v>②R8_10シフト</v>
      </c>
      <c r="AF23" s="811"/>
      <c r="AG23" s="811"/>
      <c r="AH23" s="811"/>
    </row>
    <row r="24" ht="15.75" customHeight="1" outlineLevel="1">
      <c r="A24" s="810"/>
      <c r="B24" s="877" t="s">
        <v>556</v>
      </c>
      <c r="C24" s="878"/>
      <c r="D24" s="879"/>
      <c r="E24" s="871"/>
      <c r="F24" s="871"/>
      <c r="G24" s="871"/>
      <c r="H24" s="871"/>
      <c r="I24" s="811"/>
      <c r="J24" s="825"/>
      <c r="K24" s="810"/>
      <c r="L24" s="842"/>
      <c r="S24" s="206"/>
      <c r="U24" s="842"/>
      <c r="AB24" s="206"/>
      <c r="AC24" s="811"/>
      <c r="AD24" s="216" t="str">
        <f t="array" ref="AD24">IFERROR(INDEX('💻シート作成'!$D$6:$D205, MATCH(AE24, '💻シート作成'!$E$6:$E205, 0)), "")</f>
        <v>10月</v>
      </c>
      <c r="AE24" s="168" t="str">
        <f>IFERROR(__xludf.DUMMYFUNCTION("""COMPUTED_VALUE"""),"③R8_10日報")</f>
        <v>③R8_10日報</v>
      </c>
      <c r="AF24" s="811"/>
      <c r="AG24" s="811"/>
      <c r="AH24" s="811"/>
    </row>
    <row r="25" ht="15.75" customHeight="1" outlineLevel="1">
      <c r="A25" s="810"/>
      <c r="B25" s="880" t="s">
        <v>557</v>
      </c>
      <c r="C25" s="881" t="s">
        <v>558</v>
      </c>
      <c r="D25" s="5"/>
      <c r="E25" s="881" t="s">
        <v>559</v>
      </c>
      <c r="F25" s="220"/>
      <c r="G25" s="220"/>
      <c r="H25" s="881" t="s">
        <v>560</v>
      </c>
      <c r="I25" s="5"/>
      <c r="J25" s="825"/>
      <c r="K25" s="810"/>
      <c r="L25" s="842"/>
      <c r="S25" s="206"/>
      <c r="U25" s="842"/>
      <c r="AB25" s="206"/>
      <c r="AC25" s="811"/>
      <c r="AD25" s="216" t="str">
        <f t="array" ref="AD25">IFERROR(INDEX('💻シート作成'!$D$6:$D205, MATCH(AE25, '💻シート作成'!$E$6:$E205, 0)), "")</f>
        <v>10月</v>
      </c>
      <c r="AE25" s="168" t="str">
        <f>IFERROR(__xludf.DUMMYFUNCTION("""COMPUTED_VALUE"""),"④R8_10月報")</f>
        <v>④R8_10月報</v>
      </c>
      <c r="AF25" s="811"/>
      <c r="AG25" s="811"/>
      <c r="AH25" s="811"/>
    </row>
    <row r="26" ht="15.75" customHeight="1" outlineLevel="1">
      <c r="A26" s="810"/>
      <c r="B26" s="882"/>
      <c r="C26" s="883"/>
      <c r="D26" s="5"/>
      <c r="E26" s="883"/>
      <c r="F26" s="220"/>
      <c r="G26" s="220"/>
      <c r="H26" s="884"/>
      <c r="I26" s="5"/>
      <c r="J26" s="825"/>
      <c r="K26" s="810"/>
      <c r="L26" s="842"/>
      <c r="S26" s="206"/>
      <c r="U26" s="842"/>
      <c r="AB26" s="206"/>
      <c r="AC26" s="811"/>
      <c r="AD26" s="216" t="str">
        <f t="array" ref="AD26">IFERROR(INDEX('💻シート作成'!$D$6:$D205, MATCH(AE26, '💻シート作成'!$E$6:$E205, 0)), "")</f>
        <v>9月</v>
      </c>
      <c r="AE26" s="168" t="str">
        <f>IFERROR(__xludf.DUMMYFUNCTION("""COMPUTED_VALUE"""),"①R8_9集計")</f>
        <v>①R8_9集計</v>
      </c>
      <c r="AF26" s="811"/>
      <c r="AG26" s="811"/>
      <c r="AH26" s="811"/>
    </row>
    <row r="27" ht="15.75" customHeight="1" outlineLevel="1">
      <c r="A27" s="810"/>
      <c r="B27" s="882"/>
      <c r="C27" s="883"/>
      <c r="D27" s="5"/>
      <c r="E27" s="883"/>
      <c r="F27" s="220"/>
      <c r="G27" s="220"/>
      <c r="H27" s="884"/>
      <c r="I27" s="5"/>
      <c r="J27" s="825"/>
      <c r="K27" s="810"/>
      <c r="L27" s="842"/>
      <c r="S27" s="206"/>
      <c r="U27" s="842"/>
      <c r="AB27" s="206"/>
      <c r="AC27" s="811"/>
      <c r="AD27" s="216" t="str">
        <f t="array" ref="AD27">IFERROR(INDEX('💻シート作成'!$D$6:$D205, MATCH(AE27, '💻シート作成'!$E$6:$E205, 0)), "")</f>
        <v>9月</v>
      </c>
      <c r="AE27" s="168" t="str">
        <f>IFERROR(__xludf.DUMMYFUNCTION("""COMPUTED_VALUE"""),"②R8_9シフト")</f>
        <v>②R8_9シフト</v>
      </c>
      <c r="AF27" s="811"/>
      <c r="AG27" s="811"/>
      <c r="AH27" s="811"/>
    </row>
    <row r="28" ht="15.75" customHeight="1" outlineLevel="1">
      <c r="A28" s="810"/>
      <c r="B28" s="882"/>
      <c r="C28" s="883"/>
      <c r="D28" s="5"/>
      <c r="E28" s="883"/>
      <c r="F28" s="220"/>
      <c r="G28" s="220"/>
      <c r="H28" s="884"/>
      <c r="I28" s="5"/>
      <c r="J28" s="825"/>
      <c r="K28" s="810"/>
      <c r="L28" s="842"/>
      <c r="S28" s="206"/>
      <c r="U28" s="842"/>
      <c r="AB28" s="206"/>
      <c r="AC28" s="811"/>
      <c r="AD28" s="216" t="str">
        <f t="array" ref="AD28">IFERROR(INDEX('💻シート作成'!$D$6:$D205, MATCH(AE28, '💻シート作成'!$E$6:$E205, 0)), "")</f>
        <v>9月</v>
      </c>
      <c r="AE28" s="168" t="str">
        <f>IFERROR(__xludf.DUMMYFUNCTION("""COMPUTED_VALUE"""),"③R8_9日報")</f>
        <v>③R8_9日報</v>
      </c>
      <c r="AF28" s="811"/>
      <c r="AG28" s="811"/>
      <c r="AH28" s="811"/>
    </row>
    <row r="29" ht="15.75" customHeight="1" outlineLevel="1">
      <c r="A29" s="810"/>
      <c r="B29" s="882"/>
      <c r="C29" s="883"/>
      <c r="D29" s="5"/>
      <c r="E29" s="883"/>
      <c r="F29" s="220"/>
      <c r="G29" s="220"/>
      <c r="H29" s="884"/>
      <c r="I29" s="5"/>
      <c r="J29" s="853"/>
      <c r="K29" s="810"/>
      <c r="L29" s="842"/>
      <c r="S29" s="206"/>
      <c r="U29" s="842"/>
      <c r="AB29" s="206"/>
      <c r="AC29" s="811"/>
      <c r="AD29" s="216" t="str">
        <f t="array" ref="AD29">IFERROR(INDEX('💻シート作成'!$D$6:$D205, MATCH(AE29, '💻シート作成'!$E$6:$E205, 0)), "")</f>
        <v>9月</v>
      </c>
      <c r="AE29" s="168" t="str">
        <f>IFERROR(__xludf.DUMMYFUNCTION("""COMPUTED_VALUE"""),"④R8_9月報")</f>
        <v>④R8_9月報</v>
      </c>
      <c r="AF29" s="811"/>
      <c r="AG29" s="811"/>
      <c r="AH29" s="811"/>
    </row>
    <row r="30" ht="15.75" customHeight="1" outlineLevel="1">
      <c r="A30" s="810"/>
      <c r="B30" s="882"/>
      <c r="C30" s="883"/>
      <c r="D30" s="5"/>
      <c r="E30" s="883"/>
      <c r="F30" s="220"/>
      <c r="G30" s="220"/>
      <c r="H30" s="884"/>
      <c r="I30" s="5"/>
      <c r="J30" s="853"/>
      <c r="K30" s="810"/>
      <c r="L30" s="842"/>
      <c r="S30" s="206"/>
      <c r="U30" s="842"/>
      <c r="AB30" s="206"/>
      <c r="AC30" s="811"/>
      <c r="AD30" s="216" t="str">
        <f t="array" ref="AD30">IFERROR(INDEX('💻シート作成'!$D$6:$D205, MATCH(AE30, '💻シート作成'!$E$6:$E205, 0)), "")</f>
        <v>8月</v>
      </c>
      <c r="AE30" s="168" t="str">
        <f>IFERROR(__xludf.DUMMYFUNCTION("""COMPUTED_VALUE"""),"①R8_8集計")</f>
        <v>①R8_8集計</v>
      </c>
      <c r="AF30" s="811"/>
      <c r="AG30" s="811"/>
      <c r="AH30" s="811"/>
    </row>
    <row r="31" ht="15.75" customHeight="1" outlineLevel="1">
      <c r="A31" s="810"/>
      <c r="B31" s="882"/>
      <c r="C31" s="883"/>
      <c r="D31" s="5"/>
      <c r="E31" s="883"/>
      <c r="F31" s="220"/>
      <c r="G31" s="220"/>
      <c r="H31" s="884"/>
      <c r="I31" s="5"/>
      <c r="J31" s="853"/>
      <c r="K31" s="810"/>
      <c r="L31" s="842"/>
      <c r="S31" s="206"/>
      <c r="U31" s="842"/>
      <c r="AB31" s="206"/>
      <c r="AC31" s="811"/>
      <c r="AD31" s="216" t="str">
        <f t="array" ref="AD31">IFERROR(INDEX('💻シート作成'!$D$6:$D205, MATCH(AE31, '💻シート作成'!$E$6:$E205, 0)), "")</f>
        <v>8月</v>
      </c>
      <c r="AE31" s="168" t="str">
        <f>IFERROR(__xludf.DUMMYFUNCTION("""COMPUTED_VALUE"""),"②R8_8シフト")</f>
        <v>②R8_8シフト</v>
      </c>
      <c r="AF31" s="811"/>
      <c r="AG31" s="811"/>
      <c r="AH31" s="811"/>
    </row>
    <row r="32" ht="15.75" customHeight="1" outlineLevel="1">
      <c r="A32" s="810"/>
      <c r="B32" s="882"/>
      <c r="C32" s="883"/>
      <c r="D32" s="5"/>
      <c r="E32" s="883"/>
      <c r="F32" s="220"/>
      <c r="G32" s="220"/>
      <c r="H32" s="884"/>
      <c r="I32" s="5"/>
      <c r="J32" s="825"/>
      <c r="K32" s="810"/>
      <c r="L32" s="842"/>
      <c r="S32" s="206"/>
      <c r="U32" s="842"/>
      <c r="AB32" s="206"/>
      <c r="AC32" s="811"/>
      <c r="AD32" s="216" t="str">
        <f t="array" ref="AD32">IFERROR(INDEX('💻シート作成'!$D$6:$D205, MATCH(AE32, '💻シート作成'!$E$6:$E205, 0)), "")</f>
        <v>8月</v>
      </c>
      <c r="AE32" s="168" t="str">
        <f>IFERROR(__xludf.DUMMYFUNCTION("""COMPUTED_VALUE"""),"③R8_8日報")</f>
        <v>③R8_8日報</v>
      </c>
      <c r="AF32" s="811"/>
      <c r="AG32" s="811"/>
      <c r="AH32" s="811"/>
    </row>
    <row r="33" ht="15.75" customHeight="1" outlineLevel="1">
      <c r="A33" s="810"/>
      <c r="B33" s="882"/>
      <c r="C33" s="883"/>
      <c r="D33" s="5"/>
      <c r="E33" s="883"/>
      <c r="F33" s="220"/>
      <c r="G33" s="220"/>
      <c r="H33" s="884"/>
      <c r="I33" s="5"/>
      <c r="J33" s="825"/>
      <c r="K33" s="810"/>
      <c r="L33" s="606"/>
      <c r="M33" s="224"/>
      <c r="N33" s="224"/>
      <c r="O33" s="224"/>
      <c r="P33" s="224"/>
      <c r="Q33" s="224"/>
      <c r="R33" s="224"/>
      <c r="S33" s="109"/>
      <c r="U33" s="606"/>
      <c r="V33" s="224"/>
      <c r="W33" s="224"/>
      <c r="X33" s="224"/>
      <c r="Y33" s="224"/>
      <c r="Z33" s="224"/>
      <c r="AA33" s="224"/>
      <c r="AB33" s="109"/>
      <c r="AC33" s="811"/>
      <c r="AD33" s="216" t="str">
        <f t="array" ref="AD33">IFERROR(INDEX('💻シート作成'!$D$6:$D205, MATCH(AE33, '💻シート作成'!$E$6:$E205, 0)), "")</f>
        <v>8月</v>
      </c>
      <c r="AE33" s="168" t="str">
        <f>IFERROR(__xludf.DUMMYFUNCTION("""COMPUTED_VALUE"""),"④R8_8月報")</f>
        <v>④R8_8月報</v>
      </c>
      <c r="AF33" s="811"/>
      <c r="AG33" s="811"/>
      <c r="AH33" s="811"/>
    </row>
    <row r="34" ht="15.75" customHeight="1" outlineLevel="1">
      <c r="A34" s="810"/>
      <c r="B34" s="882"/>
      <c r="C34" s="883"/>
      <c r="D34" s="5"/>
      <c r="E34" s="883"/>
      <c r="F34" s="220"/>
      <c r="G34" s="220"/>
      <c r="H34" s="884"/>
      <c r="I34" s="5"/>
      <c r="J34" s="825"/>
      <c r="K34" s="810"/>
      <c r="L34" s="885"/>
      <c r="M34" s="885"/>
      <c r="N34" s="885"/>
      <c r="O34" s="885"/>
      <c r="P34" s="885"/>
      <c r="Q34" s="885"/>
      <c r="R34" s="885"/>
      <c r="S34" s="885"/>
      <c r="T34" s="825"/>
      <c r="U34" s="886"/>
      <c r="V34" s="886"/>
      <c r="W34" s="886"/>
      <c r="X34" s="886"/>
      <c r="Y34" s="886"/>
      <c r="Z34" s="886"/>
      <c r="AA34" s="886"/>
      <c r="AB34" s="886"/>
      <c r="AC34" s="811"/>
      <c r="AD34" s="216" t="str">
        <f t="array" ref="AD34">IFERROR(INDEX('💻シート作成'!$D$6:$D205, MATCH(AE34, '💻シート作成'!$E$6:$E205, 0)), "")</f>
        <v>7月</v>
      </c>
      <c r="AE34" s="168" t="str">
        <f>IFERROR(__xludf.DUMMYFUNCTION("""COMPUTED_VALUE"""),"①R8_7集計")</f>
        <v>①R8_7集計</v>
      </c>
      <c r="AF34" s="811"/>
      <c r="AG34" s="811"/>
      <c r="AH34" s="811"/>
    </row>
    <row r="35" ht="15.75" customHeight="1" outlineLevel="1">
      <c r="A35" s="810"/>
      <c r="B35" s="882"/>
      <c r="C35" s="883"/>
      <c r="D35" s="5"/>
      <c r="E35" s="883"/>
      <c r="F35" s="220"/>
      <c r="G35" s="220"/>
      <c r="H35" s="884"/>
      <c r="I35" s="5"/>
      <c r="J35" s="825"/>
      <c r="K35" s="810"/>
      <c r="L35" s="876" t="s">
        <v>561</v>
      </c>
      <c r="M35" s="220"/>
      <c r="N35" s="220"/>
      <c r="O35" s="220"/>
      <c r="P35" s="220"/>
      <c r="Q35" s="220"/>
      <c r="R35" s="220"/>
      <c r="S35" s="5"/>
      <c r="T35" s="832" t="s">
        <v>543</v>
      </c>
      <c r="U35" s="833" t="s">
        <v>561</v>
      </c>
      <c r="V35" s="220"/>
      <c r="W35" s="220"/>
      <c r="X35" s="220"/>
      <c r="Y35" s="220"/>
      <c r="Z35" s="220"/>
      <c r="AA35" s="220"/>
      <c r="AB35" s="5"/>
      <c r="AC35" s="811"/>
      <c r="AD35" s="216" t="str">
        <f t="array" ref="AD35">IFERROR(INDEX('💻シート作成'!$D$6:$D205, MATCH(AE35, '💻シート作成'!$E$6:$E205, 0)), "")</f>
        <v>7月</v>
      </c>
      <c r="AE35" s="168" t="str">
        <f>IFERROR(__xludf.DUMMYFUNCTION("""COMPUTED_VALUE"""),"②R8_7シフト")</f>
        <v>②R8_7シフト</v>
      </c>
      <c r="AF35" s="811"/>
      <c r="AG35" s="811"/>
      <c r="AH35" s="811"/>
    </row>
    <row r="36" ht="15.75" customHeight="1" outlineLevel="1">
      <c r="A36" s="810"/>
      <c r="B36" s="188"/>
      <c r="C36" s="188"/>
      <c r="D36" s="188"/>
      <c r="E36" s="188"/>
      <c r="F36" s="188"/>
      <c r="G36" s="188"/>
      <c r="H36" s="188"/>
      <c r="I36" s="188"/>
      <c r="J36" s="825"/>
      <c r="K36" s="810"/>
      <c r="L36" s="838"/>
      <c r="M36" s="235"/>
      <c r="N36" s="235"/>
      <c r="O36" s="235"/>
      <c r="P36" s="235"/>
      <c r="Q36" s="235"/>
      <c r="R36" s="235"/>
      <c r="S36" s="238"/>
      <c r="U36" s="838"/>
      <c r="V36" s="235"/>
      <c r="W36" s="235"/>
      <c r="X36" s="235"/>
      <c r="Y36" s="235"/>
      <c r="Z36" s="235"/>
      <c r="AA36" s="235"/>
      <c r="AB36" s="238"/>
      <c r="AC36" s="811"/>
      <c r="AD36" s="216" t="str">
        <f t="array" ref="AD36">IFERROR(INDEX('💻シート作成'!$D$6:$D205, MATCH(AE36, '💻シート作成'!$E$6:$E205, 0)), "")</f>
        <v>7月</v>
      </c>
      <c r="AE36" s="168" t="str">
        <f>IFERROR(__xludf.DUMMYFUNCTION("""COMPUTED_VALUE"""),"③R8_7日報")</f>
        <v>③R8_7日報</v>
      </c>
      <c r="AF36" s="811"/>
      <c r="AG36" s="811"/>
      <c r="AH36" s="811"/>
    </row>
    <row r="37" ht="15.75" customHeight="1" outlineLevel="1">
      <c r="A37" s="810"/>
      <c r="B37" s="887" t="s">
        <v>562</v>
      </c>
      <c r="C37" s="888"/>
      <c r="D37" s="889">
        <f>counta(C39:D48)</f>
        <v>0</v>
      </c>
      <c r="E37" s="890" t="s">
        <v>563</v>
      </c>
      <c r="F37" s="891"/>
      <c r="G37" s="889">
        <f>D37 - COUNTIF(E39:E48,"採用")</f>
        <v>0</v>
      </c>
      <c r="H37" s="871"/>
      <c r="I37" s="871"/>
      <c r="J37" s="825"/>
      <c r="K37" s="810"/>
      <c r="L37" s="842"/>
      <c r="S37" s="206"/>
      <c r="U37" s="842"/>
      <c r="AB37" s="206"/>
      <c r="AC37" s="811"/>
      <c r="AD37" s="216" t="str">
        <f t="array" ref="AD37">IFERROR(INDEX('💻シート作成'!$D$6:$D205, MATCH(AE37, '💻シート作成'!$E$6:$E205, 0)), "")</f>
        <v>7月</v>
      </c>
      <c r="AE37" s="168" t="str">
        <f>IFERROR(__xludf.DUMMYFUNCTION("""COMPUTED_VALUE"""),"④R8_7月報")</f>
        <v>④R8_7月報</v>
      </c>
      <c r="AF37" s="811"/>
      <c r="AG37" s="811"/>
      <c r="AH37" s="811"/>
    </row>
    <row r="38" ht="15.75" customHeight="1" outlineLevel="1">
      <c r="A38" s="810"/>
      <c r="B38" s="892" t="s">
        <v>290</v>
      </c>
      <c r="C38" s="893" t="s">
        <v>462</v>
      </c>
      <c r="D38" s="894"/>
      <c r="E38" s="893" t="s">
        <v>559</v>
      </c>
      <c r="F38" s="894"/>
      <c r="G38" s="893" t="s">
        <v>564</v>
      </c>
      <c r="H38" s="895"/>
      <c r="I38" s="894"/>
      <c r="J38" s="825"/>
      <c r="K38" s="810"/>
      <c r="L38" s="842"/>
      <c r="S38" s="206"/>
      <c r="U38" s="842"/>
      <c r="AB38" s="206"/>
      <c r="AC38" s="811"/>
      <c r="AD38" s="216" t="str">
        <f t="array" ref="AD38">IFERROR(INDEX('💻シート作成'!$D$6:$D205, MATCH(AE38, '💻シート作成'!$E$6:$E205, 0)), "")</f>
        <v>6月</v>
      </c>
      <c r="AE38" s="168" t="str">
        <f>IFERROR(__xludf.DUMMYFUNCTION("""COMPUTED_VALUE"""),"①R8_6集計")</f>
        <v>①R8_6集計</v>
      </c>
      <c r="AF38" s="811"/>
      <c r="AG38" s="811"/>
      <c r="AH38" s="811"/>
    </row>
    <row r="39" ht="15.75" customHeight="1" outlineLevel="1">
      <c r="A39" s="810"/>
      <c r="B39" s="896"/>
      <c r="C39" s="897"/>
      <c r="D39" s="894"/>
      <c r="E39" s="898"/>
      <c r="F39" s="894"/>
      <c r="G39" s="899"/>
      <c r="H39" s="895"/>
      <c r="I39" s="894"/>
      <c r="J39" s="825"/>
      <c r="K39" s="810"/>
      <c r="L39" s="842"/>
      <c r="S39" s="206"/>
      <c r="U39" s="842"/>
      <c r="AB39" s="206"/>
      <c r="AC39" s="811"/>
      <c r="AD39" s="216" t="str">
        <f t="array" ref="AD39">IFERROR(INDEX('💻シート作成'!$D$6:$D205, MATCH(AE39, '💻シート作成'!$E$6:$E205, 0)), "")</f>
        <v>6月</v>
      </c>
      <c r="AE39" s="168" t="str">
        <f>IFERROR(__xludf.DUMMYFUNCTION("""COMPUTED_VALUE"""),"②R8_6シフト")</f>
        <v>②R8_6シフト</v>
      </c>
      <c r="AF39" s="811"/>
      <c r="AG39" s="811"/>
      <c r="AH39" s="811"/>
    </row>
    <row r="40" ht="15.75" customHeight="1">
      <c r="A40" s="810"/>
      <c r="B40" s="896"/>
      <c r="C40" s="897"/>
      <c r="D40" s="894"/>
      <c r="E40" s="898"/>
      <c r="F40" s="894"/>
      <c r="G40" s="899"/>
      <c r="H40" s="895"/>
      <c r="I40" s="894"/>
      <c r="J40" s="825"/>
      <c r="K40" s="810"/>
      <c r="L40" s="842"/>
      <c r="S40" s="206"/>
      <c r="U40" s="842"/>
      <c r="AB40" s="206"/>
      <c r="AC40" s="811"/>
      <c r="AD40" s="216" t="str">
        <f t="array" ref="AD40">IFERROR(INDEX('💻シート作成'!$D$6:$D205, MATCH(AE40, '💻シート作成'!$E$6:$E205, 0)), "")</f>
        <v>6月</v>
      </c>
      <c r="AE40" s="168" t="str">
        <f>IFERROR(__xludf.DUMMYFUNCTION("""COMPUTED_VALUE"""),"③R8_6日報")</f>
        <v>③R8_6日報</v>
      </c>
      <c r="AF40" s="811"/>
      <c r="AG40" s="811"/>
      <c r="AH40" s="811"/>
    </row>
    <row r="41" ht="15.75" customHeight="1">
      <c r="A41" s="810"/>
      <c r="B41" s="896"/>
      <c r="C41" s="897"/>
      <c r="D41" s="894"/>
      <c r="E41" s="898"/>
      <c r="F41" s="894"/>
      <c r="G41" s="899"/>
      <c r="H41" s="895"/>
      <c r="I41" s="894"/>
      <c r="J41" s="825"/>
      <c r="K41" s="810"/>
      <c r="L41" s="842"/>
      <c r="S41" s="206"/>
      <c r="U41" s="842"/>
      <c r="AB41" s="206"/>
      <c r="AC41" s="811"/>
      <c r="AD41" s="216" t="str">
        <f t="array" ref="AD41">IFERROR(INDEX('💻シート作成'!$D$6:$D205, MATCH(AE41, '💻シート作成'!$E$6:$E205, 0)), "")</f>
        <v>6月</v>
      </c>
      <c r="AE41" s="168" t="str">
        <f>IFERROR(__xludf.DUMMYFUNCTION("""COMPUTED_VALUE"""),"④R8_6月報")</f>
        <v>④R8_6月報</v>
      </c>
      <c r="AF41" s="811"/>
      <c r="AG41" s="811"/>
      <c r="AH41" s="811"/>
    </row>
    <row r="42" ht="15.75" customHeight="1">
      <c r="A42" s="810"/>
      <c r="B42" s="896"/>
      <c r="C42" s="897"/>
      <c r="D42" s="894"/>
      <c r="E42" s="898"/>
      <c r="F42" s="894"/>
      <c r="G42" s="899"/>
      <c r="H42" s="895"/>
      <c r="I42" s="894"/>
      <c r="J42" s="825"/>
      <c r="K42" s="900"/>
      <c r="L42" s="842"/>
      <c r="S42" s="206"/>
      <c r="U42" s="842"/>
      <c r="AB42" s="206"/>
      <c r="AC42" s="901"/>
      <c r="AD42" s="216" t="str">
        <f t="array" ref="AD42">IFERROR(INDEX('💻シート作成'!$D$6:$D205, MATCH(AE42, '💻シート作成'!$E$6:$E205, 0)), "")</f>
        <v>5月</v>
      </c>
      <c r="AE42" s="168" t="str">
        <f>IFERROR(__xludf.DUMMYFUNCTION("""COMPUTED_VALUE"""),"①R8_5集計")</f>
        <v>①R8_5集計</v>
      </c>
      <c r="AF42" s="901"/>
      <c r="AG42" s="901"/>
      <c r="AH42" s="901"/>
    </row>
    <row r="43" ht="15.75" customHeight="1">
      <c r="A43" s="810"/>
      <c r="B43" s="896"/>
      <c r="C43" s="897"/>
      <c r="D43" s="894"/>
      <c r="E43" s="898"/>
      <c r="F43" s="894"/>
      <c r="G43" s="899"/>
      <c r="H43" s="895"/>
      <c r="I43" s="894"/>
      <c r="J43" s="811"/>
      <c r="K43" s="810"/>
      <c r="L43" s="842"/>
      <c r="S43" s="206"/>
      <c r="U43" s="842"/>
      <c r="AB43" s="206"/>
      <c r="AC43" s="811"/>
      <c r="AD43" s="216" t="str">
        <f t="array" ref="AD43">IFERROR(INDEX('💻シート作成'!$D$6:$D205, MATCH(AE43, '💻シート作成'!$E$6:$E205, 0)), "")</f>
        <v>5月</v>
      </c>
      <c r="AE43" s="168" t="str">
        <f>IFERROR(__xludf.DUMMYFUNCTION("""COMPUTED_VALUE"""),"②R8_5シフト")</f>
        <v>②R8_5シフト</v>
      </c>
      <c r="AF43" s="811"/>
      <c r="AG43" s="811"/>
      <c r="AH43" s="811"/>
    </row>
    <row r="44" ht="15.75" customHeight="1">
      <c r="A44" s="810"/>
      <c r="B44" s="896"/>
      <c r="C44" s="902"/>
      <c r="D44" s="894"/>
      <c r="E44" s="903"/>
      <c r="F44" s="894"/>
      <c r="G44" s="899"/>
      <c r="H44" s="895"/>
      <c r="I44" s="894"/>
      <c r="J44" s="811"/>
      <c r="K44" s="904"/>
      <c r="L44" s="842"/>
      <c r="S44" s="206"/>
      <c r="U44" s="842"/>
      <c r="AB44" s="206"/>
      <c r="AC44" s="905"/>
      <c r="AD44" s="216" t="str">
        <f t="array" ref="AD44">IFERROR(INDEX('💻シート作成'!$D$6:$D205, MATCH(AE44, '💻シート作成'!$E$6:$E205, 0)), "")</f>
        <v>5月</v>
      </c>
      <c r="AE44" s="168" t="str">
        <f>IFERROR(__xludf.DUMMYFUNCTION("""COMPUTED_VALUE"""),"③R8_5日報")</f>
        <v>③R8_5日報</v>
      </c>
      <c r="AF44" s="905"/>
      <c r="AG44" s="905"/>
      <c r="AH44" s="905"/>
    </row>
    <row r="45" ht="15.75" customHeight="1">
      <c r="A45" s="900"/>
      <c r="B45" s="896"/>
      <c r="C45" s="902"/>
      <c r="D45" s="894"/>
      <c r="E45" s="903"/>
      <c r="F45" s="894"/>
      <c r="G45" s="899"/>
      <c r="H45" s="895"/>
      <c r="I45" s="894"/>
      <c r="J45" s="901"/>
      <c r="K45" s="810"/>
      <c r="L45" s="842"/>
      <c r="S45" s="206"/>
      <c r="U45" s="842"/>
      <c r="AB45" s="206"/>
      <c r="AC45" s="811"/>
      <c r="AD45" s="216" t="str">
        <f t="array" ref="AD45">IFERROR(INDEX('💻シート作成'!$D$6:$D205, MATCH(AE45, '💻シート作成'!$E$6:$E205, 0)), "")</f>
        <v>5月</v>
      </c>
      <c r="AE45" s="168" t="str">
        <f>IFERROR(__xludf.DUMMYFUNCTION("""COMPUTED_VALUE"""),"④R8_5月報")</f>
        <v>④R8_5月報</v>
      </c>
      <c r="AF45" s="811"/>
      <c r="AG45" s="811"/>
      <c r="AH45" s="811"/>
    </row>
    <row r="46" ht="15.75" customHeight="1">
      <c r="A46" s="810"/>
      <c r="B46" s="896"/>
      <c r="C46" s="902"/>
      <c r="D46" s="894"/>
      <c r="E46" s="903"/>
      <c r="F46" s="894"/>
      <c r="G46" s="899"/>
      <c r="H46" s="895"/>
      <c r="I46" s="894"/>
      <c r="J46" s="811"/>
      <c r="K46" s="810"/>
      <c r="L46" s="842"/>
      <c r="S46" s="206"/>
      <c r="U46" s="842"/>
      <c r="AB46" s="206"/>
      <c r="AC46" s="811"/>
      <c r="AD46" s="216" t="str">
        <f t="array" ref="AD46">IFERROR(INDEX('💻シート作成'!$D$6:$D205, MATCH(AE46, '💻シート作成'!$E$6:$E205, 0)), "")</f>
        <v>4月</v>
      </c>
      <c r="AE46" s="167" t="str">
        <f>IFERROR(__xludf.DUMMYFUNCTION("""COMPUTED_VALUE"""),"①R8_4集計")</f>
        <v>①R8_4集計</v>
      </c>
      <c r="AF46" s="811"/>
      <c r="AG46" s="811"/>
      <c r="AH46" s="811"/>
    </row>
    <row r="47" ht="15.75" customHeight="1">
      <c r="A47" s="904"/>
      <c r="B47" s="896"/>
      <c r="C47" s="902"/>
      <c r="D47" s="894"/>
      <c r="E47" s="903"/>
      <c r="F47" s="894"/>
      <c r="G47" s="899"/>
      <c r="H47" s="895"/>
      <c r="I47" s="894"/>
      <c r="J47" s="905"/>
      <c r="K47" s="810"/>
      <c r="L47" s="606"/>
      <c r="M47" s="224"/>
      <c r="N47" s="224"/>
      <c r="O47" s="224"/>
      <c r="P47" s="224"/>
      <c r="Q47" s="224"/>
      <c r="R47" s="224"/>
      <c r="S47" s="109"/>
      <c r="U47" s="606"/>
      <c r="V47" s="224"/>
      <c r="W47" s="224"/>
      <c r="X47" s="224"/>
      <c r="Y47" s="224"/>
      <c r="Z47" s="224"/>
      <c r="AA47" s="224"/>
      <c r="AB47" s="109"/>
      <c r="AC47" s="811"/>
      <c r="AD47" s="216" t="str">
        <f t="array" ref="AD47">IFERROR(INDEX('💻シート作成'!$D$6:$D205, MATCH(AE47, '💻シート作成'!$E$6:$E205, 0)), "")</f>
        <v>4月</v>
      </c>
      <c r="AE47" s="167" t="str">
        <f>IFERROR(__xludf.DUMMYFUNCTION("""COMPUTED_VALUE"""),"②R8_4シフト")</f>
        <v>②R8_4シフト</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5"/>
      <c r="U48" s="872"/>
      <c r="V48" s="872"/>
      <c r="W48" s="872"/>
      <c r="X48" s="872"/>
      <c r="Y48" s="872"/>
      <c r="Z48" s="872"/>
      <c r="AA48" s="872"/>
      <c r="AB48" s="872"/>
      <c r="AC48" s="811"/>
      <c r="AD48" s="216" t="str">
        <f t="array" ref="AD48">IFERROR(INDEX('💻シート作成'!$D$6:$D205, MATCH(AE48, '💻シート作成'!$E$6:$E205, 0)), "")</f>
        <v>4月</v>
      </c>
      <c r="AE48" s="167" t="str">
        <f>IFERROR(__xludf.DUMMYFUNCTION("""COMPUTED_VALUE"""),"③R8_4日報")</f>
        <v>③R8_4日報</v>
      </c>
      <c r="AF48" s="811"/>
      <c r="AG48" s="811"/>
      <c r="AH48" s="811"/>
    </row>
    <row r="49" ht="15.75" customHeight="1">
      <c r="A49" s="810"/>
      <c r="B49" s="188"/>
      <c r="C49" s="188"/>
      <c r="D49" s="188"/>
      <c r="E49" s="188"/>
      <c r="F49" s="188"/>
      <c r="G49" s="188"/>
      <c r="H49" s="188"/>
      <c r="I49" s="188"/>
      <c r="J49" s="811"/>
      <c r="K49" s="810"/>
      <c r="L49" s="876" t="s">
        <v>565</v>
      </c>
      <c r="M49" s="220"/>
      <c r="N49" s="220"/>
      <c r="O49" s="220"/>
      <c r="P49" s="220"/>
      <c r="Q49" s="220"/>
      <c r="R49" s="220"/>
      <c r="S49" s="5"/>
      <c r="T49" s="832" t="s">
        <v>543</v>
      </c>
      <c r="U49" s="833" t="s">
        <v>566</v>
      </c>
      <c r="V49" s="220"/>
      <c r="W49" s="220"/>
      <c r="X49" s="220"/>
      <c r="Y49" s="220"/>
      <c r="Z49" s="220"/>
      <c r="AA49" s="220"/>
      <c r="AB49" s="5"/>
      <c r="AC49" s="811"/>
      <c r="AD49" s="216" t="str">
        <f t="array" ref="AD49">IFERROR(INDEX('💻シート作成'!$D$6:$D205, MATCH(AE49, '💻シート作成'!$E$6:$E205, 0)), "")</f>
        <v>4月</v>
      </c>
      <c r="AE49" s="167" t="str">
        <f>IFERROR(__xludf.DUMMYFUNCTION("""COMPUTED_VALUE"""),"④R8_4月報")</f>
        <v>④R8_4月報</v>
      </c>
      <c r="AF49" s="811"/>
      <c r="AG49" s="811"/>
      <c r="AH49" s="811"/>
    </row>
    <row r="50" ht="15.75" customHeight="1">
      <c r="A50" s="810"/>
      <c r="B50" s="906" t="s">
        <v>567</v>
      </c>
      <c r="C50" s="907"/>
      <c r="D50" s="908">
        <f>COUNTA(C52:D62)</f>
        <v>0</v>
      </c>
      <c r="E50" s="871"/>
      <c r="F50" s="871"/>
      <c r="G50" s="871"/>
      <c r="H50" s="871"/>
      <c r="I50" s="811"/>
      <c r="J50" s="811"/>
      <c r="K50" s="810"/>
      <c r="L50" s="838"/>
      <c r="M50" s="235"/>
      <c r="N50" s="235"/>
      <c r="O50" s="235"/>
      <c r="P50" s="235"/>
      <c r="Q50" s="235"/>
      <c r="R50" s="235"/>
      <c r="S50" s="238"/>
      <c r="U50" s="838"/>
      <c r="V50" s="235"/>
      <c r="W50" s="235"/>
      <c r="X50" s="235"/>
      <c r="Y50" s="235"/>
      <c r="Z50" s="235"/>
      <c r="AA50" s="235"/>
      <c r="AB50" s="238"/>
      <c r="AC50" s="811"/>
      <c r="AD50" s="216" t="str">
        <f t="array" ref="AD50">IFERROR(INDEX('💻シート作成'!$D$6:$D205, MATCH(AE50, '💻シート作成'!$E$6:$E205, 0)), "")</f>
        <v>3月</v>
      </c>
      <c r="AE50" s="167" t="str">
        <f>IFERROR(__xludf.DUMMYFUNCTION("""COMPUTED_VALUE"""),"①R8_3集計")</f>
        <v>①R8_3集計</v>
      </c>
      <c r="AF50" s="811"/>
      <c r="AG50" s="811"/>
      <c r="AH50" s="811"/>
    </row>
    <row r="51" ht="15.75" customHeight="1">
      <c r="A51" s="810"/>
      <c r="B51" s="892" t="s">
        <v>568</v>
      </c>
      <c r="C51" s="893" t="s">
        <v>462</v>
      </c>
      <c r="D51" s="894"/>
      <c r="E51" s="892" t="s">
        <v>569</v>
      </c>
      <c r="F51" s="892" t="s">
        <v>570</v>
      </c>
      <c r="G51" s="892" t="s">
        <v>571</v>
      </c>
      <c r="H51" s="893" t="s">
        <v>572</v>
      </c>
      <c r="I51" s="894"/>
      <c r="J51" s="811"/>
      <c r="K51" s="810"/>
      <c r="L51" s="842"/>
      <c r="S51" s="206"/>
      <c r="U51" s="842"/>
      <c r="AB51" s="206"/>
      <c r="AC51" s="811"/>
      <c r="AD51" s="216" t="str">
        <f t="array" ref="AD51">IFERROR(INDEX('💻シート作成'!$D$6:$D205, MATCH(AE51, '💻シート作成'!$E$6:$E205, 0)), "")</f>
        <v>3月</v>
      </c>
      <c r="AE51" s="167" t="str">
        <f>IFERROR(__xludf.DUMMYFUNCTION("""COMPUTED_VALUE"""),"②R8_3シフト")</f>
        <v>②R8_3シフト</v>
      </c>
      <c r="AF51" s="811"/>
      <c r="AG51" s="811"/>
      <c r="AH51" s="811"/>
    </row>
    <row r="52" ht="15.75" customHeight="1">
      <c r="A52" s="810"/>
      <c r="B52" s="909"/>
      <c r="C52" s="897"/>
      <c r="D52" s="894"/>
      <c r="E52" s="910"/>
      <c r="F52" s="910"/>
      <c r="G52" s="911"/>
      <c r="H52" s="912"/>
      <c r="I52" s="894"/>
      <c r="J52" s="811"/>
      <c r="K52" s="810"/>
      <c r="L52" s="842"/>
      <c r="S52" s="206"/>
      <c r="U52" s="842"/>
      <c r="AB52" s="206"/>
      <c r="AC52" s="811"/>
      <c r="AD52" s="216" t="str">
        <f t="array" ref="AD52">IFERROR(INDEX('💻シート作成'!$D$6:$D205, MATCH(AE52, '💻シート作成'!$E$6:$E205, 0)), "")</f>
        <v>3月</v>
      </c>
      <c r="AE52" s="167" t="str">
        <f>IFERROR(__xludf.DUMMYFUNCTION("""COMPUTED_VALUE"""),"③R8_3日報")</f>
        <v>③R8_3日報</v>
      </c>
      <c r="AF52" s="811"/>
      <c r="AG52" s="811"/>
      <c r="AH52" s="811"/>
    </row>
    <row r="53" ht="15.75" customHeight="1">
      <c r="A53" s="810"/>
      <c r="B53" s="909"/>
      <c r="C53" s="897"/>
      <c r="D53" s="894"/>
      <c r="E53" s="910"/>
      <c r="F53" s="910"/>
      <c r="G53" s="911"/>
      <c r="H53" s="912"/>
      <c r="I53" s="894"/>
      <c r="J53" s="811"/>
      <c r="K53" s="810"/>
      <c r="L53" s="842"/>
      <c r="S53" s="206"/>
      <c r="U53" s="842"/>
      <c r="AB53" s="206"/>
      <c r="AC53" s="811"/>
      <c r="AD53" s="216" t="str">
        <f t="array" ref="AD53">IFERROR(INDEX('💻シート作成'!$D$6:$D205, MATCH(AE53, '💻シート作成'!$E$6:$E205, 0)), "")</f>
        <v>3月</v>
      </c>
      <c r="AE53" s="167" t="str">
        <f>IFERROR(__xludf.DUMMYFUNCTION("""COMPUTED_VALUE"""),"④R8_3月報")</f>
        <v>④R8_3月報</v>
      </c>
      <c r="AF53" s="811"/>
      <c r="AG53" s="811"/>
      <c r="AH53" s="811"/>
    </row>
    <row r="54" ht="15.75" customHeight="1">
      <c r="A54" s="810"/>
      <c r="B54" s="909"/>
      <c r="C54" s="897"/>
      <c r="D54" s="894"/>
      <c r="E54" s="910"/>
      <c r="F54" s="910"/>
      <c r="G54" s="911"/>
      <c r="H54" s="912"/>
      <c r="I54" s="894"/>
      <c r="J54" s="811"/>
      <c r="K54" s="810"/>
      <c r="L54" s="842"/>
      <c r="S54" s="206"/>
      <c r="U54" s="842"/>
      <c r="AB54" s="206"/>
      <c r="AC54" s="811"/>
      <c r="AD54" s="216" t="str">
        <f t="array" ref="AD54">IFERROR(INDEX('💻シート作成'!$D$6:$D205, MATCH(AE54, '💻シート作成'!$E$6:$E205, 0)), "")</f>
        <v>2月</v>
      </c>
      <c r="AE54" s="167" t="str">
        <f>IFERROR(__xludf.DUMMYFUNCTION("""COMPUTED_VALUE"""),"①R8_2集計")</f>
        <v>①R8_2集計</v>
      </c>
      <c r="AF54" s="811"/>
      <c r="AG54" s="811"/>
      <c r="AH54" s="811"/>
    </row>
    <row r="55" ht="15.75" customHeight="1">
      <c r="A55" s="810"/>
      <c r="B55" s="909"/>
      <c r="C55" s="897"/>
      <c r="D55" s="894"/>
      <c r="E55" s="910"/>
      <c r="F55" s="910"/>
      <c r="G55" s="910"/>
      <c r="H55" s="912"/>
      <c r="I55" s="894"/>
      <c r="J55" s="811"/>
      <c r="K55" s="810"/>
      <c r="L55" s="842"/>
      <c r="S55" s="206"/>
      <c r="U55" s="842"/>
      <c r="AB55" s="206"/>
      <c r="AC55" s="811"/>
      <c r="AD55" s="216" t="str">
        <f t="array" ref="AD55">IFERROR(INDEX('💻シート作成'!$D$6:$D205, MATCH(AE55, '💻シート作成'!$E$6:$E205, 0)), "")</f>
        <v>2月</v>
      </c>
      <c r="AE55" s="167" t="str">
        <f>IFERROR(__xludf.DUMMYFUNCTION("""COMPUTED_VALUE"""),"②R8_2シフト")</f>
        <v>②R8_2シフト</v>
      </c>
      <c r="AF55" s="811"/>
      <c r="AG55" s="811"/>
      <c r="AH55" s="811"/>
    </row>
    <row r="56" ht="15.75" customHeight="1">
      <c r="A56" s="810"/>
      <c r="B56" s="909"/>
      <c r="C56" s="897"/>
      <c r="D56" s="894"/>
      <c r="E56" s="910"/>
      <c r="F56" s="910"/>
      <c r="G56" s="910"/>
      <c r="H56" s="912"/>
      <c r="I56" s="894"/>
      <c r="J56" s="811"/>
      <c r="K56" s="810"/>
      <c r="L56" s="842"/>
      <c r="S56" s="206"/>
      <c r="U56" s="842"/>
      <c r="AB56" s="206"/>
      <c r="AC56" s="811"/>
      <c r="AD56" s="216" t="str">
        <f t="array" ref="AD56">IFERROR(INDEX('💻シート作成'!$D$6:$D205, MATCH(AE56, '💻シート作成'!$E$6:$E205, 0)), "")</f>
        <v>2月</v>
      </c>
      <c r="AE56" s="167" t="str">
        <f>IFERROR(__xludf.DUMMYFUNCTION("""COMPUTED_VALUE"""),"③R8_2日報")</f>
        <v>③R8_2日報</v>
      </c>
      <c r="AF56" s="811"/>
      <c r="AG56" s="811"/>
      <c r="AH56" s="811"/>
    </row>
    <row r="57" ht="15.75" customHeight="1">
      <c r="A57" s="810"/>
      <c r="B57" s="909"/>
      <c r="C57" s="897"/>
      <c r="D57" s="894"/>
      <c r="E57" s="910"/>
      <c r="F57" s="910"/>
      <c r="G57" s="910"/>
      <c r="H57" s="912"/>
      <c r="I57" s="894"/>
      <c r="J57" s="811"/>
      <c r="K57" s="810"/>
      <c r="L57" s="842"/>
      <c r="S57" s="206"/>
      <c r="U57" s="842"/>
      <c r="AB57" s="206"/>
      <c r="AC57" s="811"/>
      <c r="AD57" s="216" t="str">
        <f t="array" ref="AD57">IFERROR(INDEX('💻シート作成'!$D$6:$D205, MATCH(AE57, '💻シート作成'!$E$6:$E205, 0)), "")</f>
        <v>2月</v>
      </c>
      <c r="AE57" s="167" t="str">
        <f>IFERROR(__xludf.DUMMYFUNCTION("""COMPUTED_VALUE"""),"④R8_2月報")</f>
        <v>④R8_2月報</v>
      </c>
      <c r="AF57" s="811"/>
      <c r="AG57" s="811"/>
      <c r="AH57" s="811"/>
    </row>
    <row r="58" ht="15.75" customHeight="1">
      <c r="A58" s="810"/>
      <c r="B58" s="909"/>
      <c r="C58" s="897"/>
      <c r="D58" s="894"/>
      <c r="E58" s="910"/>
      <c r="F58" s="910"/>
      <c r="G58" s="910"/>
      <c r="H58" s="912"/>
      <c r="I58" s="894"/>
      <c r="J58" s="811"/>
      <c r="K58" s="904"/>
      <c r="L58" s="842"/>
      <c r="S58" s="206"/>
      <c r="U58" s="842"/>
      <c r="AB58" s="206"/>
      <c r="AC58" s="905"/>
      <c r="AD58" s="216" t="str">
        <f t="array" ref="AD58">IFERROR(INDEX('💻シート作成'!$D$6:$D205, MATCH(AE58, '💻シート作成'!$E$6:$E205, 0)), "")</f>
        <v/>
      </c>
      <c r="AE58" s="167" t="str">
        <f>IFERROR(__xludf.DUMMYFUNCTION("""COMPUTED_VALUE"""),"💻シート作成")</f>
        <v>💻シート作成</v>
      </c>
      <c r="AF58" s="905"/>
      <c r="AG58" s="905"/>
      <c r="AH58" s="905"/>
    </row>
    <row r="59" ht="15.75" customHeight="1">
      <c r="A59" s="810"/>
      <c r="B59" s="909"/>
      <c r="C59" s="897"/>
      <c r="D59" s="894"/>
      <c r="E59" s="910"/>
      <c r="F59" s="910"/>
      <c r="G59" s="910"/>
      <c r="H59" s="912"/>
      <c r="I59" s="894"/>
      <c r="J59" s="811"/>
      <c r="K59" s="810"/>
      <c r="L59" s="842"/>
      <c r="S59" s="206"/>
      <c r="U59" s="842"/>
      <c r="AB59" s="206"/>
      <c r="AC59" s="811"/>
      <c r="AD59" s="216" t="str">
        <f t="array" ref="AD59">IFERROR(INDEX('💻シート作成'!$D$6:$D205, MATCH(AE59, '💻シート作成'!$E$6:$E205, 0)), "")</f>
        <v/>
      </c>
      <c r="AE59" s="167" t="str">
        <f>IFERROR(__xludf.DUMMYFUNCTION("""COMPUTED_VALUE"""),"🌟目標数値")</f>
        <v>🌟目標数値</v>
      </c>
      <c r="AF59" s="811"/>
      <c r="AG59" s="811"/>
      <c r="AH59" s="811"/>
    </row>
    <row r="60" ht="15.75" customHeight="1">
      <c r="A60" s="810"/>
      <c r="B60" s="909"/>
      <c r="C60" s="897"/>
      <c r="D60" s="894"/>
      <c r="E60" s="910"/>
      <c r="F60" s="910"/>
      <c r="G60" s="910"/>
      <c r="H60" s="912"/>
      <c r="I60" s="894"/>
      <c r="J60" s="811"/>
      <c r="K60" s="810"/>
      <c r="L60" s="842"/>
      <c r="S60" s="206"/>
      <c r="U60" s="842"/>
      <c r="AB60" s="206"/>
      <c r="AC60" s="811"/>
      <c r="AD60" s="216" t="str">
        <f t="array" ref="AD60">IFERROR(INDEX('💻シート作成'!$D$6:$D205, MATCH(AE60, '💻シート作成'!$E$6:$E205, 0)), "")</f>
        <v/>
      </c>
      <c r="AE60" s="167" t="str">
        <f>IFERROR(__xludf.DUMMYFUNCTION("""COMPUTED_VALUE"""),"🏆皆勤アワード")</f>
        <v>🏆皆勤アワード</v>
      </c>
      <c r="AF60" s="811"/>
      <c r="AG60" s="811"/>
      <c r="AH60" s="811"/>
    </row>
    <row r="61" ht="15.75" customHeight="1">
      <c r="A61" s="904"/>
      <c r="B61" s="909"/>
      <c r="C61" s="897"/>
      <c r="D61" s="894"/>
      <c r="E61" s="910"/>
      <c r="F61" s="910"/>
      <c r="G61" s="910"/>
      <c r="H61" s="912"/>
      <c r="I61" s="894"/>
      <c r="J61" s="905"/>
      <c r="K61" s="810"/>
      <c r="L61" s="606"/>
      <c r="M61" s="224"/>
      <c r="N61" s="224"/>
      <c r="O61" s="224"/>
      <c r="P61" s="224"/>
      <c r="Q61" s="224"/>
      <c r="R61" s="224"/>
      <c r="S61" s="109"/>
      <c r="U61" s="606"/>
      <c r="V61" s="224"/>
      <c r="W61" s="224"/>
      <c r="X61" s="224"/>
      <c r="Y61" s="224"/>
      <c r="Z61" s="224"/>
      <c r="AA61" s="224"/>
      <c r="AB61" s="109"/>
      <c r="AC61" s="811"/>
      <c r="AD61" s="216" t="str">
        <f t="array" ref="AD61">IFERROR(INDEX('💻シート作成'!$D$6:$D205, MATCH(AE61, '💻シート作成'!$E$6:$E205, 0)), "")</f>
        <v/>
      </c>
      <c r="AE61" s="167" t="str">
        <f>IFERROR(__xludf.DUMMYFUNCTION("""COMPUTED_VALUE"""),"⚙️抽出用")</f>
        <v>⚙️抽出用</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5"/>
      <c r="U62" s="872"/>
      <c r="V62" s="872"/>
      <c r="W62" s="872"/>
      <c r="X62" s="872"/>
      <c r="Y62" s="872"/>
      <c r="Z62" s="872"/>
      <c r="AA62" s="872"/>
      <c r="AB62" s="872"/>
      <c r="AC62" s="811"/>
      <c r="AD62" s="216" t="str">
        <f t="array" ref="AD62">IFERROR(INDEX('💻シート作成'!$D$6:$D205, MATCH(AE62, '💻シート作成'!$E$6:$E205, 0)), "")</f>
        <v/>
      </c>
      <c r="AE62" s="167" t="str">
        <f>IFERROR(__xludf.DUMMYFUNCTION("""COMPUTED_VALUE"""),"①集計_原本")</f>
        <v>①集計_原本</v>
      </c>
      <c r="AF62" s="811"/>
      <c r="AG62" s="811"/>
      <c r="AH62" s="811"/>
    </row>
    <row r="63" ht="15.75" customHeight="1">
      <c r="A63" s="810"/>
      <c r="B63" s="188"/>
      <c r="C63" s="188"/>
      <c r="D63" s="188"/>
      <c r="E63" s="188"/>
      <c r="F63" s="188"/>
      <c r="G63" s="188"/>
      <c r="H63" s="188"/>
      <c r="I63" s="188"/>
      <c r="J63" s="811"/>
      <c r="K63" s="810"/>
      <c r="L63" s="876" t="s">
        <v>573</v>
      </c>
      <c r="M63" s="220"/>
      <c r="N63" s="220"/>
      <c r="O63" s="220"/>
      <c r="P63" s="220"/>
      <c r="Q63" s="220"/>
      <c r="R63" s="220"/>
      <c r="S63" s="5"/>
      <c r="T63" s="832" t="s">
        <v>543</v>
      </c>
      <c r="U63" s="833" t="s">
        <v>574</v>
      </c>
      <c r="V63" s="220"/>
      <c r="W63" s="220"/>
      <c r="X63" s="220"/>
      <c r="Y63" s="220"/>
      <c r="Z63" s="220"/>
      <c r="AA63" s="220"/>
      <c r="AB63" s="5"/>
      <c r="AC63" s="811"/>
      <c r="AD63" s="216" t="str">
        <f t="array" ref="AD63">IFERROR(INDEX('💻シート作成'!$D$6:$D205, MATCH(AE63, '💻シート作成'!$E$6:$E205, 0)), "")</f>
        <v/>
      </c>
      <c r="AE63" s="167" t="str">
        <f>IFERROR(__xludf.DUMMYFUNCTION("""COMPUTED_VALUE"""),"②シフト_原本")</f>
        <v>②シフト_原本</v>
      </c>
      <c r="AF63" s="811"/>
      <c r="AG63" s="811"/>
      <c r="AH63" s="811"/>
    </row>
    <row r="64" ht="15.75" customHeight="1">
      <c r="A64" s="810"/>
      <c r="B64" s="913" t="s">
        <v>575</v>
      </c>
      <c r="C64" s="914"/>
      <c r="D64" s="908">
        <f>COUNTA(C66:D76)</f>
        <v>0</v>
      </c>
      <c r="E64" s="871"/>
      <c r="F64" s="871"/>
      <c r="G64" s="871"/>
      <c r="H64" s="871"/>
      <c r="I64" s="871"/>
      <c r="J64" s="811"/>
      <c r="K64" s="810"/>
      <c r="L64" s="838"/>
      <c r="M64" s="235"/>
      <c r="N64" s="235"/>
      <c r="O64" s="235"/>
      <c r="P64" s="235"/>
      <c r="Q64" s="235"/>
      <c r="R64" s="235"/>
      <c r="S64" s="238"/>
      <c r="U64" s="838"/>
      <c r="V64" s="235"/>
      <c r="W64" s="235"/>
      <c r="X64" s="235"/>
      <c r="Y64" s="235"/>
      <c r="Z64" s="235"/>
      <c r="AA64" s="235"/>
      <c r="AB64" s="238"/>
      <c r="AC64" s="811"/>
      <c r="AD64" s="216" t="str">
        <f t="array" ref="AD64">IFERROR(INDEX('💻シート作成'!$D$6:$D205, MATCH(AE64, '💻シート作成'!$E$6:$E205, 0)), "")</f>
        <v/>
      </c>
      <c r="AE64" s="167" t="str">
        <f>IFERROR(__xludf.DUMMYFUNCTION("""COMPUTED_VALUE"""),"③日報_原本")</f>
        <v>③日報_原本</v>
      </c>
      <c r="AF64" s="811"/>
      <c r="AG64" s="811"/>
      <c r="AH64" s="811"/>
    </row>
    <row r="65" ht="15.75" customHeight="1">
      <c r="A65" s="810"/>
      <c r="B65" s="892" t="s">
        <v>568</v>
      </c>
      <c r="C65" s="893" t="s">
        <v>462</v>
      </c>
      <c r="D65" s="894"/>
      <c r="E65" s="892" t="s">
        <v>576</v>
      </c>
      <c r="F65" s="893" t="s">
        <v>577</v>
      </c>
      <c r="G65" s="894"/>
      <c r="H65" s="893" t="s">
        <v>572</v>
      </c>
      <c r="I65" s="894"/>
      <c r="J65" s="811"/>
      <c r="K65" s="810"/>
      <c r="L65" s="842"/>
      <c r="S65" s="206"/>
      <c r="U65" s="842"/>
      <c r="AB65" s="206"/>
      <c r="AC65" s="811"/>
      <c r="AD65" s="216" t="str">
        <f t="array" ref="AD65">IFERROR(INDEX('💻シート作成'!$D$6:$D205, MATCH(AE65, '💻シート作成'!$E$6:$E205, 0)), "")</f>
        <v/>
      </c>
      <c r="AE65" s="167" t="str">
        <f>IFERROR(__xludf.DUMMYFUNCTION("""COMPUTED_VALUE"""),"④月報_原本")</f>
        <v>④月報_原本</v>
      </c>
      <c r="AF65" s="811"/>
      <c r="AG65" s="811"/>
      <c r="AH65" s="811"/>
    </row>
    <row r="66" ht="15.75" customHeight="1">
      <c r="A66" s="810"/>
      <c r="B66" s="896"/>
      <c r="C66" s="897"/>
      <c r="D66" s="894"/>
      <c r="E66" s="915"/>
      <c r="F66" s="899"/>
      <c r="G66" s="894"/>
      <c r="H66" s="916"/>
      <c r="I66" s="894"/>
      <c r="J66" s="811"/>
      <c r="K66" s="810"/>
      <c r="L66" s="842"/>
      <c r="S66" s="206"/>
      <c r="U66" s="842"/>
      <c r="AB66" s="206"/>
      <c r="AC66" s="811"/>
      <c r="AD66" s="216" t="str">
        <f t="array" ref="AD66">IFERROR(INDEX('💻シート作成'!$D$6:$D205, MATCH(AE66, '💻シート作成'!$E$6:$E205, 0)), "")</f>
        <v/>
      </c>
      <c r="AE66" s="168" t="str">
        <f>IFERROR(__xludf.DUMMYFUNCTION("""COMPUTED_VALUE"""),"🧹特別清掃")</f>
        <v>🧹特別清掃</v>
      </c>
      <c r="AF66" s="811"/>
      <c r="AG66" s="811"/>
      <c r="AH66" s="811"/>
    </row>
    <row r="67" ht="15.75" customHeight="1">
      <c r="A67" s="810"/>
      <c r="B67" s="896"/>
      <c r="C67" s="902"/>
      <c r="D67" s="894"/>
      <c r="E67" s="915"/>
      <c r="F67" s="899"/>
      <c r="G67" s="894"/>
      <c r="H67" s="916"/>
      <c r="I67" s="894"/>
      <c r="J67" s="811"/>
      <c r="K67" s="810"/>
      <c r="L67" s="842"/>
      <c r="S67" s="206"/>
      <c r="U67" s="842"/>
      <c r="AB67" s="206"/>
      <c r="AC67" s="811"/>
      <c r="AD67" s="216" t="str">
        <f t="array" ref="AD67">IFERROR(INDEX('💻シート作成'!$D$6:$D205, MATCH(AE67, '💻シート作成'!$E$6:$E205, 0)), "")</f>
        <v/>
      </c>
      <c r="AE67" s="168"/>
      <c r="AF67" s="811"/>
      <c r="AG67" s="811"/>
      <c r="AH67" s="811"/>
    </row>
    <row r="68" ht="15.75" customHeight="1">
      <c r="A68" s="810"/>
      <c r="B68" s="896"/>
      <c r="C68" s="902"/>
      <c r="D68" s="894"/>
      <c r="E68" s="915"/>
      <c r="F68" s="899"/>
      <c r="G68" s="894"/>
      <c r="H68" s="916"/>
      <c r="I68" s="894"/>
      <c r="J68" s="811"/>
      <c r="K68" s="810"/>
      <c r="L68" s="842"/>
      <c r="S68" s="206"/>
      <c r="U68" s="842"/>
      <c r="AB68" s="206"/>
      <c r="AC68" s="811"/>
      <c r="AD68" s="216" t="str">
        <f t="array" ref="AD68">IFERROR(INDEX('💻シート作成'!$D$6:$D205, MATCH(AE68, '💻シート作成'!$E$6:$E205, 0)), "")</f>
        <v/>
      </c>
      <c r="AE68" s="168"/>
      <c r="AF68" s="811"/>
      <c r="AG68" s="811"/>
      <c r="AH68" s="811"/>
    </row>
    <row r="69" ht="15.75" customHeight="1">
      <c r="A69" s="810"/>
      <c r="B69" s="896"/>
      <c r="C69" s="902"/>
      <c r="D69" s="894"/>
      <c r="E69" s="915"/>
      <c r="F69" s="899"/>
      <c r="G69" s="894"/>
      <c r="H69" s="916"/>
      <c r="I69" s="894"/>
      <c r="J69" s="811"/>
      <c r="K69" s="810"/>
      <c r="L69" s="842"/>
      <c r="S69" s="206"/>
      <c r="U69" s="842"/>
      <c r="AB69" s="206"/>
      <c r="AC69" s="811"/>
      <c r="AD69" s="216" t="str">
        <f t="array" ref="AD69">IFERROR(INDEX('💻シート作成'!$D$6:$D205, MATCH(AE69, '💻シート作成'!$E$6:$E205, 0)), "")</f>
        <v/>
      </c>
      <c r="AE69" s="168"/>
      <c r="AF69" s="811"/>
      <c r="AG69" s="811"/>
      <c r="AH69" s="811"/>
    </row>
    <row r="70" ht="15.75" customHeight="1">
      <c r="A70" s="810"/>
      <c r="B70" s="896"/>
      <c r="C70" s="902"/>
      <c r="D70" s="894"/>
      <c r="E70" s="915"/>
      <c r="F70" s="899"/>
      <c r="G70" s="894"/>
      <c r="H70" s="916"/>
      <c r="I70" s="894"/>
      <c r="J70" s="811"/>
      <c r="K70" s="810"/>
      <c r="L70" s="842"/>
      <c r="S70" s="206"/>
      <c r="U70" s="842"/>
      <c r="AB70" s="206"/>
      <c r="AC70" s="811"/>
      <c r="AD70" s="216" t="str">
        <f t="array" ref="AD70">IFERROR(INDEX('💻シート作成'!$D$6:$D205, MATCH(AE70, '💻シート作成'!$E$6:$E205, 0)), "")</f>
        <v/>
      </c>
      <c r="AE70" s="168"/>
      <c r="AF70" s="811"/>
      <c r="AG70" s="811"/>
      <c r="AH70" s="811"/>
    </row>
    <row r="71" ht="15.75" customHeight="1">
      <c r="A71" s="810"/>
      <c r="B71" s="896"/>
      <c r="C71" s="902"/>
      <c r="D71" s="894"/>
      <c r="E71" s="915"/>
      <c r="F71" s="899"/>
      <c r="G71" s="894"/>
      <c r="H71" s="916"/>
      <c r="I71" s="894"/>
      <c r="J71" s="811"/>
      <c r="K71" s="810"/>
      <c r="L71" s="842"/>
      <c r="S71" s="206"/>
      <c r="U71" s="842"/>
      <c r="AB71" s="206"/>
      <c r="AC71" s="811"/>
      <c r="AD71" s="216" t="str">
        <f t="array" ref="AD71">IFERROR(INDEX('💻シート作成'!$D$6:$D205, MATCH(AE71, '💻シート作成'!$E$6:$E205, 0)), "")</f>
        <v/>
      </c>
      <c r="AE71" s="168"/>
      <c r="AF71" s="811"/>
      <c r="AG71" s="811"/>
      <c r="AH71" s="811"/>
    </row>
    <row r="72" ht="15.75" customHeight="1">
      <c r="A72" s="810"/>
      <c r="B72" s="896"/>
      <c r="C72" s="902"/>
      <c r="D72" s="894"/>
      <c r="E72" s="915"/>
      <c r="F72" s="899"/>
      <c r="G72" s="894"/>
      <c r="H72" s="916"/>
      <c r="I72" s="894"/>
      <c r="J72" s="811"/>
      <c r="K72" s="904"/>
      <c r="L72" s="842"/>
      <c r="S72" s="206"/>
      <c r="U72" s="842"/>
      <c r="AB72" s="206"/>
      <c r="AC72" s="905"/>
      <c r="AD72" s="216" t="str">
        <f t="array" ref="AD72">IFERROR(INDEX('💻シート作成'!$D$6:$D205, MATCH(AE72, '💻シート作成'!$E$6:$E205, 0)), "")</f>
        <v/>
      </c>
      <c r="AE72" s="168"/>
      <c r="AF72" s="905"/>
      <c r="AG72" s="905"/>
      <c r="AH72" s="905"/>
    </row>
    <row r="73" ht="15.75" customHeight="1">
      <c r="A73" s="810"/>
      <c r="B73" s="896"/>
      <c r="C73" s="902"/>
      <c r="D73" s="894"/>
      <c r="E73" s="915"/>
      <c r="F73" s="899"/>
      <c r="G73" s="894"/>
      <c r="H73" s="916"/>
      <c r="I73" s="894"/>
      <c r="J73" s="811"/>
      <c r="K73" s="810"/>
      <c r="L73" s="842"/>
      <c r="S73" s="206"/>
      <c r="U73" s="842"/>
      <c r="AB73" s="206"/>
      <c r="AC73" s="811"/>
      <c r="AD73" s="216" t="str">
        <f t="array" ref="AD73">IFERROR(INDEX('💻シート作成'!$D$6:$D205, MATCH(AE73, '💻シート作成'!$E$6:$E205, 0)), "")</f>
        <v/>
      </c>
      <c r="AE73" s="168"/>
      <c r="AF73" s="811"/>
      <c r="AG73" s="811"/>
      <c r="AH73" s="811"/>
    </row>
    <row r="74" ht="15.75" customHeight="1">
      <c r="A74" s="810"/>
      <c r="B74" s="896"/>
      <c r="C74" s="902"/>
      <c r="D74" s="894"/>
      <c r="E74" s="915"/>
      <c r="F74" s="899"/>
      <c r="G74" s="894"/>
      <c r="H74" s="916"/>
      <c r="I74" s="894"/>
      <c r="J74" s="811"/>
      <c r="K74" s="810"/>
      <c r="L74" s="842"/>
      <c r="S74" s="206"/>
      <c r="U74" s="842"/>
      <c r="AB74" s="206"/>
      <c r="AC74" s="811"/>
      <c r="AD74" s="216" t="str">
        <f t="array" ref="AD74">IFERROR(INDEX('💻シート作成'!$D$6:$D205, MATCH(AE74, '💻シート作成'!$E$6:$E205, 0)), "")</f>
        <v/>
      </c>
      <c r="AE74" s="168"/>
      <c r="AF74" s="811"/>
      <c r="AG74" s="811"/>
      <c r="AH74" s="811"/>
    </row>
    <row r="75" ht="15.75" customHeight="1">
      <c r="A75" s="904"/>
      <c r="B75" s="896"/>
      <c r="C75" s="902"/>
      <c r="D75" s="894"/>
      <c r="E75" s="915"/>
      <c r="F75" s="899"/>
      <c r="G75" s="894"/>
      <c r="H75" s="916"/>
      <c r="I75" s="894"/>
      <c r="J75" s="905"/>
      <c r="K75" s="810"/>
      <c r="L75" s="606"/>
      <c r="M75" s="224"/>
      <c r="N75" s="224"/>
      <c r="O75" s="224"/>
      <c r="P75" s="224"/>
      <c r="Q75" s="224"/>
      <c r="R75" s="224"/>
      <c r="S75" s="109"/>
      <c r="U75" s="606"/>
      <c r="V75" s="224"/>
      <c r="W75" s="224"/>
      <c r="X75" s="224"/>
      <c r="Y75" s="224"/>
      <c r="Z75" s="224"/>
      <c r="AA75" s="224"/>
      <c r="AB75" s="109"/>
      <c r="AC75" s="811"/>
      <c r="AD75" s="216" t="str">
        <f t="array" ref="AD75">IFERROR(INDEX('💻シート作成'!$D$6:$D205, MATCH(AE75, '💻シート作成'!$E$6:$E205, 0)), "")</f>
        <v/>
      </c>
      <c r="AE75" s="168"/>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5"/>
      <c r="U76" s="872"/>
      <c r="V76" s="872"/>
      <c r="W76" s="872"/>
      <c r="X76" s="872"/>
      <c r="Y76" s="872"/>
      <c r="Z76" s="872"/>
      <c r="AA76" s="872"/>
      <c r="AB76" s="872"/>
      <c r="AC76" s="811"/>
      <c r="AD76" s="216" t="str">
        <f t="array" ref="AD76">IFERROR(INDEX('💻シート作成'!$D$6:$D205, MATCH(AE76, '💻シート作成'!$E$6:$E205, 0)), "")</f>
        <v/>
      </c>
      <c r="AE76" s="168"/>
      <c r="AF76" s="811"/>
      <c r="AG76" s="811"/>
      <c r="AH76" s="811"/>
    </row>
    <row r="77" ht="15.75" customHeight="1">
      <c r="A77" s="810"/>
      <c r="B77" s="811"/>
      <c r="C77" s="811"/>
      <c r="D77" s="811"/>
      <c r="E77" s="811"/>
      <c r="H77" s="811"/>
      <c r="I77" s="811"/>
      <c r="J77" s="811"/>
      <c r="K77" s="810"/>
      <c r="L77" s="876" t="s">
        <v>578</v>
      </c>
      <c r="M77" s="220"/>
      <c r="N77" s="220"/>
      <c r="O77" s="220"/>
      <c r="P77" s="220"/>
      <c r="Q77" s="220"/>
      <c r="R77" s="220"/>
      <c r="S77" s="5"/>
      <c r="T77" s="825"/>
      <c r="U77" s="917" t="s">
        <v>579</v>
      </c>
      <c r="V77" s="220"/>
      <c r="W77" s="220"/>
      <c r="X77" s="220"/>
      <c r="Y77" s="220"/>
      <c r="Z77" s="220"/>
      <c r="AA77" s="220"/>
      <c r="AB77" s="5"/>
      <c r="AC77" s="811"/>
      <c r="AD77" s="216" t="str">
        <f t="array" ref="AD77">IFERROR(INDEX('💻シート作成'!$D$6:$D205, MATCH(AE77, '💻シート作成'!$E$6:$E205, 0)), "")</f>
        <v/>
      </c>
      <c r="AE77" s="168"/>
      <c r="AF77" s="811"/>
      <c r="AG77" s="811"/>
      <c r="AH77" s="811"/>
    </row>
    <row r="78" ht="15.75" customHeight="1">
      <c r="A78" s="810"/>
      <c r="B78" s="811"/>
      <c r="C78" s="811"/>
      <c r="D78" s="811"/>
      <c r="E78" s="811"/>
      <c r="H78" s="811"/>
      <c r="I78" s="811"/>
      <c r="J78" s="811"/>
      <c r="K78" s="810"/>
      <c r="L78" s="838"/>
      <c r="M78" s="235"/>
      <c r="N78" s="235"/>
      <c r="O78" s="235"/>
      <c r="P78" s="235"/>
      <c r="Q78" s="235"/>
      <c r="R78" s="235"/>
      <c r="S78" s="238"/>
      <c r="U78" s="838"/>
      <c r="V78" s="235"/>
      <c r="W78" s="235"/>
      <c r="X78" s="235"/>
      <c r="Y78" s="235"/>
      <c r="Z78" s="235"/>
      <c r="AA78" s="235"/>
      <c r="AB78" s="238"/>
      <c r="AC78" s="811"/>
      <c r="AD78" s="216" t="str">
        <f t="array" ref="AD78">IFERROR(INDEX('💻シート作成'!$D$6:$D205, MATCH(AE78, '💻シート作成'!$E$6:$E205, 0)), "")</f>
        <v/>
      </c>
      <c r="AE78" s="168"/>
      <c r="AF78" s="811"/>
      <c r="AG78" s="811"/>
      <c r="AH78" s="811"/>
    </row>
    <row r="79" ht="15.75" customHeight="1">
      <c r="A79" s="810"/>
      <c r="B79" s="811"/>
      <c r="C79" s="811"/>
      <c r="D79" s="811"/>
      <c r="E79" s="811"/>
      <c r="H79" s="811"/>
      <c r="I79" s="811"/>
      <c r="J79" s="811"/>
      <c r="K79" s="810"/>
      <c r="L79" s="842"/>
      <c r="S79" s="206"/>
      <c r="U79" s="842"/>
      <c r="AB79" s="206"/>
      <c r="AC79" s="811"/>
      <c r="AD79" s="216" t="str">
        <f t="array" ref="AD79">IFERROR(INDEX('💻シート作成'!$D$6:$D205, MATCH(AE79, '💻シート作成'!$E$6:$E205, 0)), "")</f>
        <v/>
      </c>
      <c r="AE79" s="168"/>
      <c r="AF79" s="811"/>
      <c r="AG79" s="811"/>
      <c r="AH79" s="811"/>
    </row>
    <row r="80" ht="15.75" customHeight="1">
      <c r="A80" s="810"/>
      <c r="B80" s="811"/>
      <c r="C80" s="811"/>
      <c r="D80" s="811"/>
      <c r="E80" s="811"/>
      <c r="H80" s="811"/>
      <c r="I80" s="811"/>
      <c r="J80" s="811"/>
      <c r="K80" s="810"/>
      <c r="L80" s="842"/>
      <c r="S80" s="206"/>
      <c r="U80" s="842"/>
      <c r="AB80" s="206"/>
      <c r="AC80" s="811"/>
      <c r="AD80" s="216" t="str">
        <f t="array" ref="AD80">IFERROR(INDEX('💻シート作成'!$D$6:$D205, MATCH(AE80, '💻シート作成'!$E$6:$E205, 0)), "")</f>
        <v/>
      </c>
      <c r="AE80" s="168"/>
      <c r="AF80" s="811"/>
      <c r="AG80" s="811"/>
      <c r="AH80" s="811"/>
    </row>
    <row r="81" ht="15.75" customHeight="1">
      <c r="A81" s="810"/>
      <c r="B81" s="811"/>
      <c r="C81" s="811"/>
      <c r="D81" s="811"/>
      <c r="E81" s="811"/>
      <c r="H81" s="811"/>
      <c r="I81" s="811"/>
      <c r="J81" s="811"/>
      <c r="K81" s="810"/>
      <c r="L81" s="842"/>
      <c r="S81" s="206"/>
      <c r="U81" s="842"/>
      <c r="AB81" s="206"/>
      <c r="AC81" s="811"/>
      <c r="AD81" s="216" t="str">
        <f t="array" ref="AD81">IFERROR(INDEX('💻シート作成'!$D$6:$D205, MATCH(AE81, '💻シート作成'!$E$6:$E205, 0)), "")</f>
        <v/>
      </c>
      <c r="AE81" s="168"/>
      <c r="AF81" s="811"/>
      <c r="AG81" s="811"/>
      <c r="AH81" s="811"/>
    </row>
    <row r="82" ht="15.75" customHeight="1">
      <c r="A82" s="810"/>
      <c r="B82" s="811"/>
      <c r="C82" s="811"/>
      <c r="D82" s="811"/>
      <c r="E82" s="811"/>
      <c r="H82" s="811"/>
      <c r="I82" s="811"/>
      <c r="J82" s="811"/>
      <c r="K82" s="810"/>
      <c r="L82" s="842"/>
      <c r="S82" s="206"/>
      <c r="U82" s="842"/>
      <c r="AB82" s="206"/>
      <c r="AC82" s="811"/>
      <c r="AD82" s="216" t="str">
        <f t="array" ref="AD82">IFERROR(INDEX('💻シート作成'!$D$6:$D205, MATCH(AE82, '💻シート作成'!$E$6:$E205, 0)), "")</f>
        <v/>
      </c>
      <c r="AE82" s="168"/>
      <c r="AF82" s="811"/>
      <c r="AG82" s="811"/>
      <c r="AH82" s="811"/>
    </row>
    <row r="83" ht="15.75" customHeight="1">
      <c r="A83" s="810"/>
      <c r="B83" s="811"/>
      <c r="C83" s="811"/>
      <c r="D83" s="811"/>
      <c r="E83" s="811"/>
      <c r="H83" s="811"/>
      <c r="I83" s="811"/>
      <c r="J83" s="811"/>
      <c r="K83" s="810"/>
      <c r="L83" s="842"/>
      <c r="S83" s="206"/>
      <c r="U83" s="842"/>
      <c r="AB83" s="206"/>
      <c r="AC83" s="811"/>
      <c r="AD83" s="216" t="str">
        <f t="array" ref="AD83">IFERROR(INDEX('💻シート作成'!$D$6:$D205, MATCH(AE83, '💻シート作成'!$E$6:$E205, 0)), "")</f>
        <v/>
      </c>
      <c r="AE83" s="168"/>
      <c r="AF83" s="811"/>
      <c r="AG83" s="811"/>
      <c r="AH83" s="811"/>
    </row>
    <row r="84" ht="15.75" customHeight="1">
      <c r="A84" s="810"/>
      <c r="B84" s="811"/>
      <c r="C84" s="811"/>
      <c r="D84" s="811"/>
      <c r="E84" s="811"/>
      <c r="H84" s="811"/>
      <c r="I84" s="811"/>
      <c r="J84" s="811"/>
      <c r="K84" s="810"/>
      <c r="L84" s="842"/>
      <c r="S84" s="206"/>
      <c r="U84" s="842"/>
      <c r="AB84" s="206"/>
      <c r="AC84" s="811"/>
      <c r="AD84" s="216" t="str">
        <f t="array" ref="AD84">IFERROR(INDEX('💻シート作成'!$D$6:$D205, MATCH(AE84, '💻シート作成'!$E$6:$E205, 0)), "")</f>
        <v/>
      </c>
      <c r="AE84" s="168"/>
      <c r="AF84" s="811"/>
      <c r="AG84" s="811"/>
      <c r="AH84" s="811"/>
    </row>
    <row r="85" ht="15.75" customHeight="1">
      <c r="A85" s="810"/>
      <c r="B85" s="811"/>
      <c r="C85" s="811"/>
      <c r="D85" s="811"/>
      <c r="E85" s="811"/>
      <c r="H85" s="811"/>
      <c r="I85" s="811"/>
      <c r="J85" s="811"/>
      <c r="K85" s="810"/>
      <c r="L85" s="842"/>
      <c r="S85" s="206"/>
      <c r="U85" s="842"/>
      <c r="AB85" s="206"/>
      <c r="AC85" s="811"/>
      <c r="AD85" s="216" t="str">
        <f t="array" ref="AD85">IFERROR(INDEX('💻シート作成'!$D$6:$D205, MATCH(AE85, '💻シート作成'!$E$6:$E205, 0)), "")</f>
        <v/>
      </c>
      <c r="AE85" s="168"/>
      <c r="AF85" s="811"/>
      <c r="AG85" s="811"/>
      <c r="AH85" s="811"/>
    </row>
    <row r="86" ht="15.75" customHeight="1">
      <c r="A86" s="810"/>
      <c r="B86" s="811"/>
      <c r="C86" s="811"/>
      <c r="D86" s="811"/>
      <c r="E86" s="811"/>
      <c r="H86" s="811"/>
      <c r="I86" s="811"/>
      <c r="J86" s="811"/>
      <c r="K86" s="904"/>
      <c r="L86" s="842"/>
      <c r="S86" s="206"/>
      <c r="U86" s="842"/>
      <c r="AB86" s="206"/>
      <c r="AC86" s="905"/>
      <c r="AD86" s="216" t="str">
        <f t="array" ref="AD86">IFERROR(INDEX('💻シート作成'!$D$6:$D205, MATCH(AE86, '💻シート作成'!$E$6:$E205, 0)), "")</f>
        <v/>
      </c>
      <c r="AE86" s="168"/>
      <c r="AF86" s="905"/>
      <c r="AG86" s="905"/>
      <c r="AH86" s="905"/>
    </row>
    <row r="87" ht="15.75" customHeight="1">
      <c r="A87" s="810"/>
      <c r="B87" s="811"/>
      <c r="C87" s="811"/>
      <c r="D87" s="811"/>
      <c r="E87" s="811"/>
      <c r="H87" s="811"/>
      <c r="I87" s="811"/>
      <c r="J87" s="811"/>
      <c r="K87" s="810"/>
      <c r="L87" s="842"/>
      <c r="S87" s="206"/>
      <c r="U87" s="842"/>
      <c r="AB87" s="206"/>
      <c r="AC87" s="811"/>
      <c r="AD87" s="216" t="str">
        <f t="array" ref="AD87">IFERROR(INDEX('💻シート作成'!$D$6:$D205, MATCH(AE87, '💻シート作成'!$E$6:$E205, 0)), "")</f>
        <v/>
      </c>
      <c r="AE87" s="168"/>
      <c r="AF87" s="811"/>
      <c r="AG87" s="811"/>
      <c r="AH87" s="811"/>
    </row>
    <row r="88" ht="15.75" customHeight="1">
      <c r="A88" s="810"/>
      <c r="B88" s="811"/>
      <c r="C88" s="811"/>
      <c r="D88" s="811"/>
      <c r="E88" s="811"/>
      <c r="H88" s="811"/>
      <c r="I88" s="811"/>
      <c r="J88" s="811"/>
      <c r="K88" s="810"/>
      <c r="L88" s="842"/>
      <c r="S88" s="206"/>
      <c r="U88" s="842"/>
      <c r="AB88" s="206"/>
      <c r="AC88" s="811"/>
      <c r="AD88" s="216" t="str">
        <f t="array" ref="AD88">IFERROR(INDEX('💻シート作成'!$D$6:$D205, MATCH(AE88, '💻シート作成'!$E$6:$E205, 0)), "")</f>
        <v/>
      </c>
      <c r="AE88" s="168"/>
      <c r="AF88" s="811"/>
      <c r="AG88" s="811"/>
      <c r="AH88" s="811"/>
    </row>
    <row r="89" ht="15.75" customHeight="1">
      <c r="A89" s="904"/>
      <c r="B89" s="905"/>
      <c r="C89" s="905"/>
      <c r="D89" s="905"/>
      <c r="E89" s="905"/>
      <c r="F89" s="905"/>
      <c r="G89" s="905"/>
      <c r="H89" s="905"/>
      <c r="I89" s="905"/>
      <c r="J89" s="905"/>
      <c r="K89" s="810"/>
      <c r="L89" s="606"/>
      <c r="M89" s="224"/>
      <c r="N89" s="224"/>
      <c r="O89" s="224"/>
      <c r="P89" s="224"/>
      <c r="Q89" s="224"/>
      <c r="R89" s="224"/>
      <c r="S89" s="109"/>
      <c r="U89" s="606"/>
      <c r="V89" s="224"/>
      <c r="W89" s="224"/>
      <c r="X89" s="224"/>
      <c r="Y89" s="224"/>
      <c r="Z89" s="224"/>
      <c r="AA89" s="224"/>
      <c r="AB89" s="109"/>
      <c r="AC89" s="811"/>
      <c r="AD89" s="216" t="str">
        <f t="array" ref="AD89">IFERROR(INDEX('💻シート作成'!$D$6:$D205, MATCH(AE89, '💻シート作成'!$E$6:$E205, 0)), "")</f>
        <v/>
      </c>
      <c r="AE89" s="168"/>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5"/>
      <c r="U90" s="918"/>
      <c r="V90" s="918"/>
      <c r="W90" s="918"/>
      <c r="X90" s="918"/>
      <c r="Y90" s="918"/>
      <c r="Z90" s="918"/>
      <c r="AA90" s="918"/>
      <c r="AB90" s="918"/>
      <c r="AC90" s="811"/>
      <c r="AD90" s="216" t="str">
        <f t="array" ref="AD90">IFERROR(INDEX('💻シート作成'!$D$6:$D205, MATCH(AE90, '💻シート作成'!$E$6:$E205, 0)), "")</f>
        <v/>
      </c>
      <c r="AE90" s="168"/>
      <c r="AF90" s="811"/>
      <c r="AG90" s="811"/>
      <c r="AH90" s="811"/>
    </row>
    <row r="91" ht="15.75" customHeight="1">
      <c r="A91" s="810"/>
      <c r="B91" s="811"/>
      <c r="C91" s="811"/>
      <c r="D91" s="811"/>
      <c r="E91" s="811"/>
      <c r="F91" s="811"/>
      <c r="G91" s="811"/>
      <c r="H91" s="811"/>
      <c r="I91" s="811"/>
      <c r="J91" s="811"/>
      <c r="K91" s="810"/>
      <c r="L91" s="919" t="s">
        <v>580</v>
      </c>
      <c r="M91" s="220"/>
      <c r="N91" s="220"/>
      <c r="O91" s="220"/>
      <c r="P91" s="220"/>
      <c r="Q91" s="220"/>
      <c r="R91" s="220"/>
      <c r="S91" s="220"/>
      <c r="T91" s="220"/>
      <c r="U91" s="220"/>
      <c r="V91" s="220"/>
      <c r="W91" s="220"/>
      <c r="X91" s="220"/>
      <c r="Y91" s="220"/>
      <c r="Z91" s="220"/>
      <c r="AA91" s="220"/>
      <c r="AB91" s="5"/>
      <c r="AC91" s="811"/>
      <c r="AD91" s="216" t="str">
        <f t="array" ref="AD91">IFERROR(INDEX('💻シート作成'!$D$6:$D205, MATCH(AE91, '💻シート作成'!$E$6:$E205, 0)), "")</f>
        <v/>
      </c>
      <c r="AE91" s="168"/>
      <c r="AF91" s="811"/>
      <c r="AG91" s="811"/>
      <c r="AH91" s="811"/>
    </row>
    <row r="92" ht="15.75" customHeight="1">
      <c r="A92" s="810"/>
      <c r="B92" s="811"/>
      <c r="C92" s="811"/>
      <c r="D92" s="811"/>
      <c r="E92" s="811"/>
      <c r="F92" s="811"/>
      <c r="G92" s="811"/>
      <c r="H92" s="811"/>
      <c r="I92" s="811"/>
      <c r="J92" s="811"/>
      <c r="K92" s="810"/>
      <c r="L92" s="838"/>
      <c r="M92" s="235"/>
      <c r="N92" s="235"/>
      <c r="O92" s="235"/>
      <c r="P92" s="235"/>
      <c r="Q92" s="235"/>
      <c r="R92" s="235"/>
      <c r="S92" s="235"/>
      <c r="T92" s="235"/>
      <c r="U92" s="235"/>
      <c r="V92" s="235"/>
      <c r="W92" s="235"/>
      <c r="X92" s="235"/>
      <c r="Y92" s="235"/>
      <c r="Z92" s="235"/>
      <c r="AA92" s="235"/>
      <c r="AB92" s="238"/>
      <c r="AC92" s="811"/>
      <c r="AD92" s="216" t="str">
        <f t="array" ref="AD92">IFERROR(INDEX('💻シート作成'!$D$6:$D205, MATCH(AE92, '💻シート作成'!$E$6:$E205, 0)), "")</f>
        <v/>
      </c>
      <c r="AE92" s="168"/>
      <c r="AF92" s="811"/>
      <c r="AG92" s="811"/>
      <c r="AH92" s="811"/>
    </row>
    <row r="93" ht="15.75" customHeight="1">
      <c r="A93" s="810"/>
      <c r="B93" s="811"/>
      <c r="C93" s="811"/>
      <c r="D93" s="811"/>
      <c r="E93" s="811"/>
      <c r="F93" s="811"/>
      <c r="G93" s="811"/>
      <c r="H93" s="811"/>
      <c r="I93" s="811"/>
      <c r="J93" s="811"/>
      <c r="K93" s="810"/>
      <c r="L93" s="842"/>
      <c r="AB93" s="206"/>
      <c r="AC93" s="811"/>
      <c r="AD93" s="216" t="str">
        <f t="array" ref="AD93">IFERROR(INDEX('💻シート作成'!$D$6:$D205, MATCH(AE93, '💻シート作成'!$E$6:$E205, 0)), "")</f>
        <v/>
      </c>
      <c r="AE93" s="168"/>
      <c r="AF93" s="811"/>
      <c r="AG93" s="811"/>
      <c r="AH93" s="811"/>
    </row>
    <row r="94" ht="15.75" customHeight="1">
      <c r="A94" s="810"/>
      <c r="B94" s="811"/>
      <c r="C94" s="811"/>
      <c r="D94" s="811"/>
      <c r="E94" s="811"/>
      <c r="F94" s="811"/>
      <c r="G94" s="811"/>
      <c r="H94" s="811"/>
      <c r="I94" s="811"/>
      <c r="J94" s="811"/>
      <c r="K94" s="810"/>
      <c r="L94" s="842"/>
      <c r="AB94" s="206"/>
      <c r="AC94" s="811"/>
      <c r="AD94" s="216" t="str">
        <f t="array" ref="AD94">IFERROR(INDEX('💻シート作成'!$D$6:$D205, MATCH(AE94, '💻シート作成'!$E$6:$E205, 0)), "")</f>
        <v/>
      </c>
      <c r="AE94" s="168"/>
      <c r="AF94" s="811"/>
      <c r="AG94" s="811"/>
      <c r="AH94" s="811"/>
    </row>
    <row r="95" ht="15.75" customHeight="1">
      <c r="A95" s="810"/>
      <c r="B95" s="811"/>
      <c r="C95" s="811"/>
      <c r="D95" s="811"/>
      <c r="E95" s="811"/>
      <c r="F95" s="811"/>
      <c r="G95" s="811"/>
      <c r="H95" s="811"/>
      <c r="I95" s="811"/>
      <c r="J95" s="811"/>
      <c r="K95" s="810"/>
      <c r="L95" s="842"/>
      <c r="AB95" s="206"/>
      <c r="AC95" s="811"/>
      <c r="AD95" s="216" t="str">
        <f t="array" ref="AD95">IFERROR(INDEX('💻シート作成'!$D$6:$D205, MATCH(AE95, '💻シート作成'!$E$6:$E205, 0)), "")</f>
        <v/>
      </c>
      <c r="AE95" s="168"/>
      <c r="AF95" s="811"/>
      <c r="AG95" s="811"/>
      <c r="AH95" s="811"/>
    </row>
    <row r="96" ht="15.75" customHeight="1">
      <c r="A96" s="810"/>
      <c r="B96" s="811"/>
      <c r="C96" s="811"/>
      <c r="D96" s="811"/>
      <c r="E96" s="811"/>
      <c r="F96" s="811"/>
      <c r="G96" s="811"/>
      <c r="H96" s="811"/>
      <c r="I96" s="811"/>
      <c r="J96" s="811"/>
      <c r="K96" s="810"/>
      <c r="L96" s="842"/>
      <c r="AB96" s="206"/>
      <c r="AC96" s="811"/>
      <c r="AD96" s="216" t="str">
        <f t="array" ref="AD96">IFERROR(INDEX('💻シート作成'!$D$6:$D205, MATCH(AE96, '💻シート作成'!$E$6:$E205, 0)), "")</f>
        <v/>
      </c>
      <c r="AE96" s="168"/>
      <c r="AF96" s="811"/>
      <c r="AG96" s="811"/>
      <c r="AH96" s="811"/>
    </row>
    <row r="97" ht="15.75" customHeight="1">
      <c r="A97" s="810"/>
      <c r="B97" s="811"/>
      <c r="C97" s="811"/>
      <c r="D97" s="811"/>
      <c r="E97" s="811"/>
      <c r="F97" s="811"/>
      <c r="G97" s="811"/>
      <c r="H97" s="811"/>
      <c r="I97" s="811"/>
      <c r="J97" s="811"/>
      <c r="K97" s="810"/>
      <c r="L97" s="842"/>
      <c r="AB97" s="206"/>
      <c r="AC97" s="811"/>
      <c r="AD97" s="216" t="str">
        <f t="array" ref="AD97">IFERROR(INDEX('💻シート作成'!$D$6:$D205, MATCH(AE97, '💻シート作成'!$E$6:$E205, 0)), "")</f>
        <v/>
      </c>
      <c r="AE97" s="168"/>
      <c r="AF97" s="811"/>
      <c r="AG97" s="811"/>
      <c r="AH97" s="811"/>
    </row>
    <row r="98" ht="15.75" customHeight="1">
      <c r="A98" s="810"/>
      <c r="B98" s="811"/>
      <c r="C98" s="811"/>
      <c r="D98" s="811"/>
      <c r="E98" s="811"/>
      <c r="F98" s="811"/>
      <c r="G98" s="811"/>
      <c r="H98" s="811"/>
      <c r="I98" s="811"/>
      <c r="J98" s="811"/>
      <c r="K98" s="810"/>
      <c r="L98" s="842"/>
      <c r="AB98" s="206"/>
      <c r="AC98" s="811"/>
      <c r="AD98" s="216" t="str">
        <f t="array" ref="AD98">IFERROR(INDEX('💻シート作成'!$D$6:$D205, MATCH(AE98, '💻シート作成'!$E$6:$E205, 0)), "")</f>
        <v/>
      </c>
      <c r="AE98" s="168"/>
      <c r="AF98" s="811"/>
      <c r="AG98" s="811"/>
      <c r="AH98" s="811"/>
    </row>
    <row r="99" ht="15.75" customHeight="1">
      <c r="A99" s="810"/>
      <c r="B99" s="811"/>
      <c r="C99" s="811"/>
      <c r="D99" s="811"/>
      <c r="E99" s="811"/>
      <c r="F99" s="811"/>
      <c r="G99" s="811"/>
      <c r="H99" s="811"/>
      <c r="I99" s="811"/>
      <c r="J99" s="811"/>
      <c r="K99" s="810"/>
      <c r="L99" s="606"/>
      <c r="M99" s="224"/>
      <c r="N99" s="224"/>
      <c r="O99" s="224"/>
      <c r="P99" s="224"/>
      <c r="Q99" s="224"/>
      <c r="R99" s="224"/>
      <c r="S99" s="224"/>
      <c r="T99" s="224"/>
      <c r="U99" s="224"/>
      <c r="V99" s="224"/>
      <c r="W99" s="224"/>
      <c r="X99" s="224"/>
      <c r="Y99" s="224"/>
      <c r="Z99" s="224"/>
      <c r="AA99" s="224"/>
      <c r="AB99" s="109"/>
      <c r="AC99" s="811"/>
      <c r="AD99" s="216" t="str">
        <f t="array" ref="AD99">IFERROR(INDEX('💻シート作成'!$D$6:$D205, MATCH(AE99, '💻シート作成'!$E$6:$E205, 0)), "")</f>
        <v/>
      </c>
      <c r="AE99" s="168"/>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16" t="str">
        <f t="array" ref="AD100">IFERROR(INDEX('💻シート作成'!$D$6:$D205, MATCH(AE100, '💻シート作成'!$E$6:$E205, 0)), "")</f>
        <v/>
      </c>
      <c r="AE100" s="168"/>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16" t="str">
        <f t="array" ref="AD101">IFERROR(INDEX('💻シート作成'!$D$6:$D205, MATCH(AE101, '💻シート作成'!$E$6:$E205, 0)), "")</f>
        <v/>
      </c>
      <c r="AE101" s="168"/>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16" t="str">
        <f t="array" ref="AD102">IFERROR(INDEX('💻シート作成'!$D$6:$D205, MATCH(AE102, '💻シート作成'!$E$6:$E205, 0)), "")</f>
        <v/>
      </c>
      <c r="AE102" s="168"/>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16" t="str">
        <f t="array" ref="AD103">IFERROR(INDEX('💻シート作成'!$D$6:$D205, MATCH(AE103, '💻シート作成'!$E$6:$E205, 0)), "")</f>
        <v/>
      </c>
      <c r="AE103" s="168"/>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16" t="str">
        <f t="array" ref="AD104">IFERROR(INDEX('💻シート作成'!$D$6:$D205, MATCH(AE104, '💻シート作成'!$E$6:$E205, 0)), "")</f>
        <v/>
      </c>
      <c r="AE104" s="168"/>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16" t="str">
        <f t="array" ref="AD105">IFERROR(INDEX('💻シート作成'!$D$6:$D205, MATCH(AE105, '💻シート作成'!$E$6:$E205, 0)), "")</f>
        <v/>
      </c>
      <c r="AE105" s="168"/>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16" t="str">
        <f t="array" ref="AD106">IFERROR(INDEX('💻シート作成'!$D$6:$D205, MATCH(AE106, '💻シート作成'!$E$6:$E205, 0)), "")</f>
        <v/>
      </c>
      <c r="AE106" s="172"/>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16" t="str">
        <f t="array" ref="AD107">IFERROR(INDEX('💻シート作成'!$D$6:$D205, MATCH(AE107, '💻シート作成'!$E$6:$E205, 0)), "")</f>
        <v/>
      </c>
      <c r="AE107" s="168"/>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16" t="str">
        <f t="array" ref="AD108">IFERROR(INDEX('💻シート作成'!$D$6:$D205, MATCH(AE108, '💻シート作成'!$E$6:$E205, 0)), "")</f>
        <v/>
      </c>
      <c r="AE108" s="172"/>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16" t="str">
        <f t="array" ref="AD109">IFERROR(INDEX('💻シート作成'!$D$6:$D205, MATCH(AE109, '💻シート作成'!$E$6:$E205, 0)), "")</f>
        <v/>
      </c>
      <c r="AE109" s="172"/>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16" t="str">
        <f t="array" ref="AD110">IFERROR(INDEX('💻シート作成'!$D$6:$D205, MATCH(AE110, '💻シート作成'!$E$6:$E205, 0)), "")</f>
        <v/>
      </c>
      <c r="AE110" s="172"/>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16" t="str">
        <f t="array" ref="AD111">IFERROR(INDEX('💻シート作成'!$D$6:$D205, MATCH(AE111, '💻シート作成'!$E$6:$E205, 0)), "")</f>
        <v/>
      </c>
      <c r="AE111" s="172"/>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16" t="str">
        <f t="array" ref="AD112">IFERROR(INDEX('💻シート作成'!$D$6:$D205, MATCH(AE112, '💻シート作成'!$E$6:$E205, 0)), "")</f>
        <v/>
      </c>
      <c r="AE112" s="172"/>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16" t="str">
        <f t="array" ref="AD113">IFERROR(INDEX('💻シート作成'!$D$6:$D205, MATCH(AE113, '💻シート作成'!$E$6:$E205, 0)), "")</f>
        <v/>
      </c>
      <c r="AE113" s="172"/>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16" t="str">
        <f t="array" ref="AD114">IFERROR(INDEX('💻シート作成'!$D$6:$D205, MATCH(AE114, '💻シート作成'!$E$6:$E205, 0)), "")</f>
        <v/>
      </c>
      <c r="AE114" s="172"/>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16" t="str">
        <f t="array" ref="AD115">IFERROR(INDEX('💻シート作成'!$D$6:$D205, MATCH(AE115, '💻シート作成'!$E$6:$E205, 0)), "")</f>
        <v/>
      </c>
      <c r="AE115" s="172"/>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16" t="str">
        <f t="array" ref="AD116">IFERROR(INDEX('💻シート作成'!$D$6:$D205, MATCH(AE116, '💻シート作成'!$E$6:$E205, 0)), "")</f>
        <v/>
      </c>
      <c r="AE116" s="172"/>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16" t="str">
        <f t="array" ref="AD117">IFERROR(INDEX('💻シート作成'!$D$6:$D205, MATCH(AE117, '💻シート作成'!$E$6:$E205, 0)), "")</f>
        <v/>
      </c>
      <c r="AE117" s="172"/>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16" t="str">
        <f t="array" ref="AD118">IFERROR(INDEX('💻シート作成'!$D$6:$D205, MATCH(AE118, '💻シート作成'!$E$6:$E205, 0)), "")</f>
        <v/>
      </c>
      <c r="AE118" s="172"/>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16" t="str">
        <f t="array" ref="AD119">IFERROR(INDEX('💻シート作成'!$D$6:$D205, MATCH(AE119, '💻シート作成'!$E$6:$E205, 0)), "")</f>
        <v/>
      </c>
      <c r="AE119" s="172"/>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16" t="str">
        <f t="array" ref="AD120">IFERROR(INDEX('💻シート作成'!$D$6:$D205, MATCH(AE120, '💻シート作成'!$E$6:$E205, 0)), "")</f>
        <v/>
      </c>
      <c r="AE120" s="172"/>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16" t="str">
        <f t="array" ref="AD121">IFERROR(INDEX('💻シート作成'!$D$6:$D205, MATCH(AE121, '💻シート作成'!$E$6:$E205, 0)), "")</f>
        <v/>
      </c>
      <c r="AE121" s="172"/>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16" t="str">
        <f t="array" ref="AD122">IFERROR(INDEX('💻シート作成'!$D$6:$D205, MATCH(AE122, '💻シート作成'!$E$6:$E205, 0)), "")</f>
        <v/>
      </c>
      <c r="AE122" s="172"/>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16" t="str">
        <f t="array" ref="AD123">IFERROR(INDEX('💻シート作成'!$D$6:$D205, MATCH(AE123, '💻シート作成'!$E$6:$E205, 0)), "")</f>
        <v/>
      </c>
      <c r="AE123" s="172"/>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16" t="str">
        <f t="array" ref="AD124">IFERROR(INDEX('💻シート作成'!$D$6:$D205, MATCH(AE124, '💻シート作成'!$E$6:$E205, 0)), "")</f>
        <v/>
      </c>
      <c r="AE124" s="172"/>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16" t="str">
        <f t="array" ref="AD125">IFERROR(INDEX('💻シート作成'!$D$6:$D205, MATCH(AE125, '💻シート作成'!$E$6:$E205, 0)), "")</f>
        <v/>
      </c>
      <c r="AE125" s="172"/>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16" t="str">
        <f t="array" ref="AD126">IFERROR(INDEX('💻シート作成'!$D$6:$D205, MATCH(AE126, '💻シート作成'!$E$6:$E205, 0)), "")</f>
        <v/>
      </c>
      <c r="AE126" s="172"/>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16" t="str">
        <f t="array" ref="AD127">IFERROR(INDEX('💻シート作成'!$D$6:$D205, MATCH(AE127, '💻シート作成'!$E$6:$E205, 0)), "")</f>
        <v/>
      </c>
      <c r="AE127" s="172"/>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16" t="str">
        <f t="array" ref="AD128">IFERROR(INDEX('💻シート作成'!$D$6:$D205, MATCH(AE128, '💻シート作成'!$E$6:$E205, 0)), "")</f>
        <v/>
      </c>
      <c r="AE128" s="172"/>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16" t="str">
        <f t="array" ref="AD129">IFERROR(INDEX('💻シート作成'!$D$6:$D205, MATCH(AE129, '💻シート作成'!$E$6:$E205, 0)), "")</f>
        <v/>
      </c>
      <c r="AE129" s="172"/>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16" t="str">
        <f t="array" ref="AD130">IFERROR(INDEX('💻シート作成'!$D$6:$D205, MATCH(AE130, '💻シート作成'!$E$6:$E205, 0)), "")</f>
        <v/>
      </c>
      <c r="AE130" s="172"/>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16" t="str">
        <f t="array" ref="AD131">IFERROR(INDEX('💻シート作成'!$D$6:$D205, MATCH(AE131, '💻シート作成'!$E$6:$E205, 0)), "")</f>
        <v/>
      </c>
      <c r="AE131" s="172"/>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16" t="str">
        <f t="array" ref="AD132">IFERROR(INDEX('💻シート作成'!$D$6:$D205, MATCH(AE132, '💻シート作成'!$E$6:$E205, 0)), "")</f>
        <v/>
      </c>
      <c r="AE132" s="172"/>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16" t="str">
        <f t="array" ref="AD133">IFERROR(INDEX('💻シート作成'!$D$6:$D205, MATCH(AE133, '💻シート作成'!$E$6:$E205, 0)), "")</f>
        <v/>
      </c>
      <c r="AE133" s="172"/>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16" t="str">
        <f t="array" ref="AD134">IFERROR(INDEX('💻シート作成'!$D$6:$D205, MATCH(AE134, '💻シート作成'!$E$6:$E205, 0)), "")</f>
        <v/>
      </c>
      <c r="AE134" s="172"/>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16" t="str">
        <f t="array" ref="AD135">IFERROR(INDEX('💻シート作成'!$D$6:$D205, MATCH(AE135, '💻シート作成'!$E$6:$E205, 0)), "")</f>
        <v/>
      </c>
      <c r="AE135" s="172"/>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16" t="str">
        <f t="array" ref="AD136">IFERROR(INDEX('💻シート作成'!$D$6:$D205, MATCH(AE136, '💻シート作成'!$E$6:$E205, 0)), "")</f>
        <v/>
      </c>
      <c r="AE136" s="172"/>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16" t="str">
        <f t="array" ref="AD137">IFERROR(INDEX('💻シート作成'!$D$6:$D205, MATCH(AE137, '💻シート作成'!$E$6:$E205, 0)), "")</f>
        <v/>
      </c>
      <c r="AE137" s="172"/>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16" t="str">
        <f t="array" ref="AD138">IFERROR(INDEX('💻シート作成'!$D$6:$D205, MATCH(AE138, '💻シート作成'!$E$6:$E205, 0)), "")</f>
        <v/>
      </c>
      <c r="AE138" s="172"/>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16" t="str">
        <f t="array" ref="AD139">IFERROR(INDEX('💻シート作成'!$D$6:$D205, MATCH(AE139, '💻シート作成'!$E$6:$E205, 0)), "")</f>
        <v/>
      </c>
      <c r="AE139" s="172"/>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16" t="str">
        <f t="array" ref="AD140">IFERROR(INDEX('💻シート作成'!$D$6:$D205, MATCH(AE140, '💻シート作成'!$E$6:$E205, 0)), "")</f>
        <v/>
      </c>
      <c r="AE140" s="172"/>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16" t="str">
        <f t="array" ref="AD141">IFERROR(INDEX('💻シート作成'!$D$6:$D205, MATCH(AE141, '💻シート作成'!$E$6:$E205, 0)), "")</f>
        <v/>
      </c>
      <c r="AE141" s="172"/>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16" t="str">
        <f t="array" ref="AD142">IFERROR(INDEX('💻シート作成'!$D$6:$D205, MATCH(AE142, '💻シート作成'!$E$6:$E205, 0)), "")</f>
        <v/>
      </c>
      <c r="AE142" s="172"/>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16" t="str">
        <f t="array" ref="AD143">IFERROR(INDEX('💻シート作成'!$D$6:$D205, MATCH(AE143, '💻シート作成'!$E$6:$E205, 0)), "")</f>
        <v/>
      </c>
      <c r="AE143" s="172"/>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16" t="str">
        <f t="array" ref="AD144">IFERROR(INDEX('💻シート作成'!$D$6:$D205, MATCH(AE144, '💻シート作成'!$E$6:$E205, 0)), "")</f>
        <v/>
      </c>
      <c r="AE144" s="172"/>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16" t="str">
        <f t="array" ref="AD145">IFERROR(INDEX('💻シート作成'!$D$6:$D205, MATCH(AE145, '💻シート作成'!$E$6:$E205, 0)), "")</f>
        <v/>
      </c>
      <c r="AE145" s="172"/>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16" t="str">
        <f t="array" ref="AD146">IFERROR(INDEX('💻シート作成'!$D$6:$D205, MATCH(AE146, '💻シート作成'!$E$6:$E205, 0)), "")</f>
        <v/>
      </c>
      <c r="AE146" s="172"/>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16" t="str">
        <f t="array" ref="AD147">IFERROR(INDEX('💻シート作成'!$D$6:$D205, MATCH(AE147, '💻シート作成'!$E$6:$E205, 0)), "")</f>
        <v/>
      </c>
      <c r="AE147" s="172"/>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16" t="str">
        <f t="array" ref="AD148">IFERROR(INDEX('💻シート作成'!$D$6:$D205, MATCH(AE148, '💻シート作成'!$E$6:$E205, 0)), "")</f>
        <v/>
      </c>
      <c r="AE148" s="172"/>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16" t="str">
        <f t="array" ref="AD149">IFERROR(INDEX('💻シート作成'!$D$6:$D205, MATCH(AE149, '💻シート作成'!$E$6:$E205, 0)), "")</f>
        <v/>
      </c>
      <c r="AE149" s="172"/>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16" t="str">
        <f t="array" ref="AD150">IFERROR(INDEX('💻シート作成'!$D$6:$D205, MATCH(AE150, '💻シート作成'!$E$6:$E205, 0)), "")</f>
        <v/>
      </c>
      <c r="AE150" s="172"/>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16" t="str">
        <f t="array" ref="AD151">IFERROR(INDEX('💻シート作成'!$D$6:$D205, MATCH(AE151, '💻シート作成'!$E$6:$E205, 0)), "")</f>
        <v/>
      </c>
      <c r="AE151" s="172"/>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16" t="str">
        <f t="array" ref="AD152">IFERROR(INDEX('💻シート作成'!$D$6:$D205, MATCH(AE152, '💻シート作成'!$E$6:$E205, 0)), "")</f>
        <v/>
      </c>
      <c r="AE152" s="172"/>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16" t="str">
        <f t="array" ref="AD153">IFERROR(INDEX('💻シート作成'!$D$6:$D205, MATCH(AE153, '💻シート作成'!$E$6:$E205, 0)), "")</f>
        <v/>
      </c>
      <c r="AE153" s="172"/>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16" t="str">
        <f t="array" ref="AD154">IFERROR(INDEX('💻シート作成'!$D$6:$D205, MATCH(AE154, '💻シート作成'!$E$6:$E205, 0)), "")</f>
        <v/>
      </c>
      <c r="AE154" s="172"/>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16" t="str">
        <f t="array" ref="AD155">IFERROR(INDEX('💻シート作成'!$D$6:$D205, MATCH(AE155, '💻シート作成'!$E$6:$E205, 0)), "")</f>
        <v/>
      </c>
      <c r="AE155" s="172"/>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16" t="str">
        <f t="array" ref="AD156">IFERROR(INDEX('💻シート作成'!$D$6:$D205, MATCH(AE156, '💻シート作成'!$E$6:$E205, 0)), "")</f>
        <v/>
      </c>
      <c r="AE156" s="172"/>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16" t="str">
        <f t="array" ref="AD157">IFERROR(INDEX('💻シート作成'!$D$6:$D205, MATCH(AE157, '💻シート作成'!$E$6:$E205, 0)), "")</f>
        <v/>
      </c>
      <c r="AE157" s="172"/>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16" t="str">
        <f t="array" ref="AD158">IFERROR(INDEX('💻シート作成'!$D$6:$D205, MATCH(AE158, '💻シート作成'!$E$6:$E205, 0)), "")</f>
        <v/>
      </c>
      <c r="AE158" s="172"/>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16" t="str">
        <f t="array" ref="AD159">IFERROR(INDEX('💻シート作成'!$D$6:$D205, MATCH(AE159, '💻シート作成'!$E$6:$E205, 0)), "")</f>
        <v/>
      </c>
      <c r="AE159" s="172"/>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16" t="str">
        <f t="array" ref="AD160">IFERROR(INDEX('💻シート作成'!$D$6:$D205, MATCH(AE160, '💻シート作成'!$E$6:$E205, 0)), "")</f>
        <v/>
      </c>
      <c r="AE160" s="172"/>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16" t="str">
        <f t="array" ref="AD161">IFERROR(INDEX('💻シート作成'!$D$6:$D205, MATCH(AE161, '💻シート作成'!$E$6:$E205, 0)), "")</f>
        <v/>
      </c>
      <c r="AE161" s="172"/>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16" t="str">
        <f t="array" ref="AD162">IFERROR(INDEX('💻シート作成'!$D$6:$D205, MATCH(AE162, '💻シート作成'!$E$6:$E205, 0)), "")</f>
        <v/>
      </c>
      <c r="AE162" s="172"/>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16" t="str">
        <f t="array" ref="AD163">IFERROR(INDEX('💻シート作成'!$D$6:$D205, MATCH(AE163, '💻シート作成'!$E$6:$E205, 0)), "")</f>
        <v/>
      </c>
      <c r="AE163" s="172"/>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16" t="str">
        <f t="array" ref="AD164">IFERROR(INDEX('💻シート作成'!$D$6:$D205, MATCH(AE164, '💻シート作成'!$E$6:$E205, 0)), "")</f>
        <v/>
      </c>
      <c r="AE164" s="172"/>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16" t="str">
        <f t="array" ref="AD165">IFERROR(INDEX('💻シート作成'!$D$6:$D205, MATCH(AE165, '💻シート作成'!$E$6:$E205, 0)), "")</f>
        <v/>
      </c>
      <c r="AE165" s="172"/>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16" t="str">
        <f t="array" ref="AD166">IFERROR(INDEX('💻シート作成'!$D$6:$D205, MATCH(AE166, '💻シート作成'!$E$6:$E205, 0)), "")</f>
        <v/>
      </c>
      <c r="AE166" s="172"/>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16" t="str">
        <f t="array" ref="AD167">IFERROR(INDEX('💻シート作成'!$D$6:$D205, MATCH(AE167, '💻シート作成'!$E$6:$E205, 0)), "")</f>
        <v/>
      </c>
      <c r="AE167" s="172"/>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16" t="str">
        <f t="array" ref="AD168">IFERROR(INDEX('💻シート作成'!$D$6:$D205, MATCH(AE168, '💻シート作成'!$E$6:$E205, 0)), "")</f>
        <v/>
      </c>
      <c r="AE168" s="172"/>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16" t="str">
        <f t="array" ref="AD169">IFERROR(INDEX('💻シート作成'!$D$6:$D205, MATCH(AE169, '💻シート作成'!$E$6:$E205, 0)), "")</f>
        <v/>
      </c>
      <c r="AE169" s="172"/>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16" t="str">
        <f t="array" ref="AD170">IFERROR(INDEX('💻シート作成'!$D$6:$D205, MATCH(AE170, '💻シート作成'!$E$6:$E205, 0)), "")</f>
        <v/>
      </c>
      <c r="AE170" s="172"/>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16" t="str">
        <f t="array" ref="AD171">IFERROR(INDEX('💻シート作成'!$D$6:$D205, MATCH(AE171, '💻シート作成'!$E$6:$E205, 0)), "")</f>
        <v/>
      </c>
      <c r="AE171" s="172"/>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16" t="str">
        <f t="array" ref="AD172">IFERROR(INDEX('💻シート作成'!$D$6:$D205, MATCH(AE172, '💻シート作成'!$E$6:$E205, 0)), "")</f>
        <v/>
      </c>
      <c r="AE172" s="172"/>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16" t="str">
        <f t="array" ref="AD173">IFERROR(INDEX('💻シート作成'!$D$6:$D205, MATCH(AE173, '💻シート作成'!$E$6:$E205, 0)), "")</f>
        <v/>
      </c>
      <c r="AE173" s="172"/>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16" t="str">
        <f t="array" ref="AD174">IFERROR(INDEX('💻シート作成'!$D$6:$D205, MATCH(AE174, '💻シート作成'!$E$6:$E205, 0)), "")</f>
        <v/>
      </c>
      <c r="AE174" s="172"/>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16" t="str">
        <f t="array" ref="AD175">IFERROR(INDEX('💻シート作成'!$D$6:$D205, MATCH(AE175, '💻シート作成'!$E$6:$E205, 0)), "")</f>
        <v/>
      </c>
      <c r="AE175" s="172"/>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16" t="str">
        <f t="array" ref="AD176">IFERROR(INDEX('💻シート作成'!$D$6:$D205, MATCH(AE176, '💻シート作成'!$E$6:$E205, 0)), "")</f>
        <v/>
      </c>
      <c r="AE176" s="172"/>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16" t="str">
        <f t="array" ref="AD177">IFERROR(INDEX('💻シート作成'!$D$6:$D205, MATCH(AE177, '💻シート作成'!$E$6:$E205, 0)), "")</f>
        <v/>
      </c>
      <c r="AE177" s="172"/>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16" t="str">
        <f t="array" ref="AD178">IFERROR(INDEX('💻シート作成'!$D$6:$D205, MATCH(AE178, '💻シート作成'!$E$6:$E205, 0)), "")</f>
        <v/>
      </c>
      <c r="AE178" s="172"/>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16" t="str">
        <f t="array" ref="AD179">IFERROR(INDEX('💻シート作成'!$D$6:$D205, MATCH(AE179, '💻シート作成'!$E$6:$E205, 0)), "")</f>
        <v/>
      </c>
      <c r="AE179" s="172"/>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16" t="str">
        <f t="array" ref="AD180">IFERROR(INDEX('💻シート作成'!$D$6:$D205, MATCH(AE180, '💻シート作成'!$E$6:$E205, 0)), "")</f>
        <v/>
      </c>
      <c r="AE180" s="172"/>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16" t="str">
        <f t="array" ref="AD181">IFERROR(INDEX('💻シート作成'!$D$6:$D205, MATCH(AE181, '💻シート作成'!$E$6:$E205, 0)), "")</f>
        <v/>
      </c>
      <c r="AE181" s="172"/>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16" t="str">
        <f t="array" ref="AD182">IFERROR(INDEX('💻シート作成'!$D$6:$D205, MATCH(AE182, '💻シート作成'!$E$6:$E205, 0)), "")</f>
        <v/>
      </c>
      <c r="AE182" s="172"/>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16" t="str">
        <f t="array" ref="AD183">IFERROR(INDEX('💻シート作成'!$D$6:$D205, MATCH(AE183, '💻シート作成'!$E$6:$E205, 0)), "")</f>
        <v/>
      </c>
      <c r="AE183" s="172"/>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16" t="str">
        <f t="array" ref="AD184">IFERROR(INDEX('💻シート作成'!$D$6:$D205, MATCH(AE184, '💻シート作成'!$E$6:$E205, 0)), "")</f>
        <v/>
      </c>
      <c r="AE184" s="172"/>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16" t="str">
        <f t="array" ref="AD185">IFERROR(INDEX('💻シート作成'!$D$6:$D205, MATCH(AE185, '💻シート作成'!$E$6:$E205, 0)), "")</f>
        <v/>
      </c>
      <c r="AE185" s="172"/>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16" t="str">
        <f t="array" ref="AD186">IFERROR(INDEX('💻シート作成'!$D$6:$D205, MATCH(AE186, '💻シート作成'!$E$6:$E205, 0)), "")</f>
        <v/>
      </c>
      <c r="AE186" s="172"/>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16" t="str">
        <f t="array" ref="AD187">IFERROR(INDEX('💻シート作成'!$D$6:$D205, MATCH(AE187, '💻シート作成'!$E$6:$E205, 0)), "")</f>
        <v/>
      </c>
      <c r="AE187" s="172"/>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16" t="str">
        <f t="array" ref="AD188">IFERROR(INDEX('💻シート作成'!$D$6:$D205, MATCH(AE188, '💻シート作成'!$E$6:$E205, 0)), "")</f>
        <v/>
      </c>
      <c r="AE188" s="172"/>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16" t="str">
        <f t="array" ref="AD189">IFERROR(INDEX('💻シート作成'!$D$6:$D205, MATCH(AE189, '💻シート作成'!$E$6:$E205, 0)), "")</f>
        <v/>
      </c>
      <c r="AE189" s="172"/>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16" t="str">
        <f t="array" ref="AD190">IFERROR(INDEX('💻シート作成'!$D$6:$D205, MATCH(AE190, '💻シート作成'!$E$6:$E205, 0)), "")</f>
        <v/>
      </c>
      <c r="AE190" s="172"/>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16" t="str">
        <f t="array" ref="AD191">IFERROR(INDEX('💻シート作成'!$D$6:$D205, MATCH(AE191, '💻シート作成'!$E$6:$E205, 0)), "")</f>
        <v/>
      </c>
      <c r="AE191" s="172"/>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16" t="str">
        <f t="array" ref="AD192">IFERROR(INDEX('💻シート作成'!$D$6:$D205, MATCH(AE192, '💻シート作成'!$E$6:$E205, 0)), "")</f>
        <v/>
      </c>
      <c r="AE192" s="172"/>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16" t="str">
        <f t="array" ref="AD193">IFERROR(INDEX('💻シート作成'!$D$6:$D205, MATCH(AE193, '💻シート作成'!$E$6:$E205, 0)), "")</f>
        <v/>
      </c>
      <c r="AE193" s="172"/>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16" t="str">
        <f t="array" ref="AD194">IFERROR(INDEX('💻シート作成'!$D$6:$D205, MATCH(AE194, '💻シート作成'!$E$6:$E205, 0)), "")</f>
        <v/>
      </c>
      <c r="AE194" s="172"/>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16" t="str">
        <f t="array" ref="AD195">IFERROR(INDEX('💻シート作成'!$D$6:$D205, MATCH(AE195, '💻シート作成'!$E$6:$E205, 0)), "")</f>
        <v/>
      </c>
      <c r="AE195" s="172"/>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16" t="str">
        <f t="array" ref="AD196">IFERROR(INDEX('💻シート作成'!$D$6:$D205, MATCH(AE196, '💻シート作成'!$E$6:$E205, 0)), "")</f>
        <v/>
      </c>
      <c r="AE196" s="172"/>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16" t="str">
        <f t="array" ref="AD197">IFERROR(INDEX('💻シート作成'!$D$6:$D205, MATCH(AE197, '💻シート作成'!$E$6:$E205, 0)), "")</f>
        <v/>
      </c>
      <c r="AE197" s="172"/>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16" t="str">
        <f t="array" ref="AD198">IFERROR(INDEX('💻シート作成'!$D$6:$D205, MATCH(AE198, '💻シート作成'!$E$6:$E205, 0)), "")</f>
        <v/>
      </c>
      <c r="AE198" s="172"/>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16" t="str">
        <f t="array" ref="AD199">IFERROR(INDEX('💻シート作成'!$D$6:$D205, MATCH(AE199, '💻シート作成'!$E$6:$E205, 0)), "")</f>
        <v/>
      </c>
      <c r="AE199" s="172"/>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16" t="str">
        <f t="array" ref="AD200">IFERROR(INDEX('💻シート作成'!$D$6:$D205, MATCH(AE200, '💻シート作成'!$E$6:$E205, 0)), "")</f>
        <v/>
      </c>
      <c r="AE200" s="172"/>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16" t="str">
        <f t="array" ref="AD201">IFERROR(INDEX('💻シート作成'!$D$6:$D205, MATCH(AE201, '💻シート作成'!$E$6:$E205, 0)), "")</f>
        <v/>
      </c>
      <c r="AE201" s="172"/>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16" t="str">
        <f t="array" ref="AD202">IFERROR(INDEX('💻シート作成'!$D$6:$D205, MATCH(AE202, '💻シート作成'!$E$6:$E205, 0)), "")</f>
        <v/>
      </c>
      <c r="AE202" s="172"/>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16" t="str">
        <f t="array" ref="AD203">IFERROR(INDEX('💻シート作成'!$D$6:$D205, MATCH(AE203, '💻シート作成'!$E$6:$E205, 0)), "")</f>
        <v/>
      </c>
      <c r="AE203" s="172"/>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16" t="str">
        <f t="array" ref="AD204">IFERROR(INDEX('💻シート作成'!$D$6:$D205, MATCH(AE204, '💻シート作成'!$E$6:$E205, 0)), "")</f>
        <v/>
      </c>
      <c r="AE204" s="172"/>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16" t="str">
        <f t="array" ref="AD205">IFERROR(INDEX('💻シート作成'!$D$6:$D205, MATCH(AE205, '💻シート作成'!$E$6:$E205, 0)), "")</f>
        <v/>
      </c>
      <c r="AE205" s="172"/>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3" t="s">
        <v>914</v>
      </c>
      <c r="B1" s="220"/>
      <c r="C1" s="220"/>
      <c r="D1" s="220"/>
      <c r="E1" s="5"/>
    </row>
    <row r="2">
      <c r="A2" s="1154" t="s">
        <v>909</v>
      </c>
      <c r="B2" s="1155" t="s">
        <v>317</v>
      </c>
      <c r="C2" s="1155" t="s">
        <v>318</v>
      </c>
      <c r="D2" s="1155" t="s">
        <v>807</v>
      </c>
      <c r="E2" s="1154" t="s">
        <v>315</v>
      </c>
    </row>
    <row r="3">
      <c r="A3" s="1156">
        <v>31.0</v>
      </c>
      <c r="B3" s="1157">
        <v>0.775</v>
      </c>
      <c r="C3" s="1158">
        <v>1.2081998E7</v>
      </c>
      <c r="D3" s="1158">
        <v>3158768.0</v>
      </c>
      <c r="E3" s="1159">
        <v>0.2614</v>
      </c>
    </row>
    <row r="4">
      <c r="A4" s="1160">
        <v>31.0</v>
      </c>
      <c r="B4" s="1161">
        <v>0.8</v>
      </c>
      <c r="C4" s="1162">
        <v>1.2418782E7</v>
      </c>
      <c r="D4" s="1162">
        <v>3290047.0</v>
      </c>
      <c r="E4" s="1163">
        <v>0.2649</v>
      </c>
    </row>
    <row r="5">
      <c r="A5" s="1160">
        <v>31.0</v>
      </c>
      <c r="B5" s="1161">
        <v>0.825</v>
      </c>
      <c r="C5" s="1162">
        <v>1.2755566E7</v>
      </c>
      <c r="D5" s="1162">
        <v>3421326.0</v>
      </c>
      <c r="E5" s="1163">
        <v>0.2682</v>
      </c>
    </row>
    <row r="6">
      <c r="A6" s="1164">
        <v>31.0</v>
      </c>
      <c r="B6" s="1165">
        <v>0.85</v>
      </c>
      <c r="C6" s="1166">
        <v>1.309235E7</v>
      </c>
      <c r="D6" s="1166">
        <v>3552604.0</v>
      </c>
      <c r="E6" s="1167">
        <v>0.2713</v>
      </c>
    </row>
    <row r="7">
      <c r="A7" s="1156">
        <v>30.0</v>
      </c>
      <c r="B7" s="1157">
        <v>0.775</v>
      </c>
      <c r="C7" s="1158">
        <v>1.171811E7</v>
      </c>
      <c r="D7" s="1158">
        <v>3191857.0</v>
      </c>
      <c r="E7" s="1159">
        <v>0.2724</v>
      </c>
    </row>
    <row r="8">
      <c r="A8" s="1160">
        <v>30.0</v>
      </c>
      <c r="B8" s="1161">
        <v>0.8</v>
      </c>
      <c r="C8" s="1162">
        <v>1.204403E7</v>
      </c>
      <c r="D8" s="1162">
        <v>3318901.0</v>
      </c>
      <c r="E8" s="1163">
        <v>0.2756</v>
      </c>
    </row>
    <row r="9">
      <c r="A9" s="1160">
        <v>30.0</v>
      </c>
      <c r="B9" s="1161">
        <v>0.825</v>
      </c>
      <c r="C9" s="1162">
        <v>1.236995E7</v>
      </c>
      <c r="D9" s="1162">
        <v>3445945.0</v>
      </c>
      <c r="E9" s="1163">
        <v>0.2786</v>
      </c>
    </row>
    <row r="10">
      <c r="A10" s="1164">
        <v>30.0</v>
      </c>
      <c r="B10" s="1165">
        <v>0.85</v>
      </c>
      <c r="C10" s="1166">
        <v>1.269587E7</v>
      </c>
      <c r="D10" s="1166">
        <v>3572989.0</v>
      </c>
      <c r="E10" s="1167">
        <v>0.2814</v>
      </c>
    </row>
    <row r="11">
      <c r="A11" s="1156">
        <v>28.0</v>
      </c>
      <c r="B11" s="1157">
        <v>0.775</v>
      </c>
      <c r="C11" s="1158">
        <v>1.0990334E7</v>
      </c>
      <c r="D11" s="1158">
        <v>2847714.0</v>
      </c>
      <c r="E11" s="1159">
        <v>0.2591</v>
      </c>
    </row>
    <row r="12">
      <c r="A12" s="1160">
        <v>28.0</v>
      </c>
      <c r="B12" s="1161">
        <v>0.8</v>
      </c>
      <c r="C12" s="1162">
        <v>1.1294526E7</v>
      </c>
      <c r="D12" s="1162">
        <v>2966288.0</v>
      </c>
      <c r="E12" s="1163">
        <v>0.2626</v>
      </c>
    </row>
    <row r="13">
      <c r="A13" s="1160">
        <v>28.0</v>
      </c>
      <c r="B13" s="1161">
        <v>0.825</v>
      </c>
      <c r="C13" s="1162">
        <v>1.1598718E7</v>
      </c>
      <c r="D13" s="1162">
        <v>3084862.0</v>
      </c>
      <c r="E13" s="1163">
        <v>0.266</v>
      </c>
    </row>
    <row r="14">
      <c r="A14" s="1168">
        <v>28.0</v>
      </c>
      <c r="B14" s="1169">
        <v>0.85</v>
      </c>
      <c r="C14" s="1170">
        <v>1.190291E7</v>
      </c>
      <c r="D14" s="1170">
        <v>3203437.0</v>
      </c>
      <c r="E14" s="1171">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288</v>
      </c>
      <c r="N2" s="277" t="s">
        <v>289</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290</v>
      </c>
      <c r="C5" s="283" t="s">
        <v>291</v>
      </c>
      <c r="D5" s="283" t="s">
        <v>292</v>
      </c>
      <c r="E5" s="283" t="s">
        <v>293</v>
      </c>
      <c r="F5" s="283" t="s">
        <v>294</v>
      </c>
      <c r="G5" s="283" t="s">
        <v>295</v>
      </c>
      <c r="H5" s="283" t="s">
        <v>296</v>
      </c>
      <c r="I5" s="283" t="s">
        <v>297</v>
      </c>
      <c r="J5" s="283" t="s">
        <v>298</v>
      </c>
      <c r="K5" s="283" t="s">
        <v>299</v>
      </c>
      <c r="L5" s="283" t="s">
        <v>300</v>
      </c>
      <c r="M5" s="284" t="s">
        <v>301</v>
      </c>
      <c r="N5" s="284" t="s">
        <v>915</v>
      </c>
      <c r="O5" s="2" t="s">
        <v>916</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2">
        <v>3.0</v>
      </c>
      <c r="O6" s="1173">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4">
        <v>112.0</v>
      </c>
      <c r="O7" s="1173">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5">
        <v>4.0</v>
      </c>
      <c r="O8" s="1173">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4">
        <v>4.0</v>
      </c>
      <c r="O9" s="1173">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5">
        <v>0.0</v>
      </c>
      <c r="O10" s="1173">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4">
        <v>0.0</v>
      </c>
      <c r="O11" s="1173">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5">
        <v>2.0</v>
      </c>
      <c r="O12" s="1173">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4">
        <v>2.0</v>
      </c>
      <c r="O13" s="1173">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5">
        <v>2.0</v>
      </c>
      <c r="O14" s="1173">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4">
        <v>43.0</v>
      </c>
      <c r="O15" s="1173">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5"/>
      <c r="O16" s="1173"/>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4"/>
      <c r="O17" s="1176"/>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5"/>
      <c r="O18" s="1173"/>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4"/>
      <c r="O19" s="1176"/>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5"/>
      <c r="O20" s="1177"/>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4"/>
      <c r="O21" s="1178"/>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79"/>
      <c r="N22" s="1179"/>
      <c r="O22" s="1180"/>
      <c r="P22" s="297"/>
      <c r="Q22" s="2" t="s">
        <v>302</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79"/>
      <c r="N23" s="1179"/>
      <c r="O23" s="1180"/>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79"/>
      <c r="N24" s="1179"/>
      <c r="O24" s="1180"/>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79"/>
      <c r="N25" s="1179"/>
      <c r="O25" s="1180"/>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79"/>
      <c r="N26" s="1179"/>
      <c r="O26" s="1180"/>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79"/>
      <c r="N27" s="1179"/>
      <c r="O27" s="1180"/>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79"/>
      <c r="N28" s="1179"/>
      <c r="O28" s="1180"/>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79"/>
      <c r="N29" s="1179"/>
      <c r="O29" s="1180"/>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79"/>
      <c r="N30" s="1179"/>
      <c r="O30" s="1180"/>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79"/>
      <c r="N31" s="1179"/>
      <c r="O31" s="1180"/>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79"/>
      <c r="N32" s="1179"/>
      <c r="O32" s="1180"/>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79"/>
      <c r="N33" s="1179"/>
      <c r="O33" s="1180"/>
      <c r="P33" s="275"/>
    </row>
    <row r="34" ht="26.25" customHeight="1">
      <c r="B34" s="1181" t="str">
        <f t="shared" si="5"/>
        <v/>
      </c>
      <c r="C34" s="286" t="str">
        <f t="shared" si="1"/>
        <v/>
      </c>
      <c r="D34" s="287" t="str">
        <f t="shared" si="2"/>
        <v/>
      </c>
      <c r="E34" s="288" t="str">
        <f t="shared" si="3"/>
        <v/>
      </c>
      <c r="F34" s="298"/>
      <c r="G34" s="289"/>
      <c r="H34" s="289"/>
      <c r="I34" s="298"/>
      <c r="J34" s="298"/>
      <c r="K34" s="298"/>
      <c r="L34" s="298"/>
      <c r="M34" s="1179"/>
      <c r="N34" s="1179"/>
      <c r="O34" s="1180"/>
      <c r="P34" s="275"/>
    </row>
    <row r="35" ht="22.5" customHeight="1">
      <c r="B35" s="1181" t="str">
        <f t="shared" si="5"/>
        <v/>
      </c>
      <c r="C35" s="286" t="str">
        <f t="shared" si="1"/>
        <v/>
      </c>
      <c r="D35" s="287" t="str">
        <f t="shared" si="2"/>
        <v/>
      </c>
      <c r="E35" s="288" t="str">
        <f t="shared" si="3"/>
        <v/>
      </c>
      <c r="F35" s="298"/>
      <c r="G35" s="289"/>
      <c r="H35" s="289"/>
      <c r="I35" s="298"/>
      <c r="J35" s="298"/>
      <c r="K35" s="298"/>
      <c r="L35" s="298"/>
      <c r="M35" s="1179"/>
      <c r="N35" s="1179"/>
      <c r="O35" s="1180"/>
      <c r="P35" s="275"/>
    </row>
    <row r="36" ht="22.5" customHeight="1">
      <c r="B36" s="1181" t="str">
        <f t="shared" si="5"/>
        <v/>
      </c>
      <c r="C36" s="286" t="str">
        <f t="shared" si="1"/>
        <v/>
      </c>
      <c r="D36" s="287" t="str">
        <f t="shared" si="2"/>
        <v/>
      </c>
      <c r="E36" s="288" t="str">
        <f t="shared" si="3"/>
        <v/>
      </c>
      <c r="F36" s="299"/>
      <c r="G36" s="289"/>
      <c r="H36" s="289"/>
      <c r="I36" s="299"/>
      <c r="J36" s="299"/>
      <c r="K36" s="299"/>
      <c r="L36" s="299"/>
      <c r="M36" s="300"/>
      <c r="N36" s="300"/>
      <c r="O36" s="1180"/>
      <c r="P36" s="275"/>
    </row>
    <row r="37" ht="36.75" customHeight="1">
      <c r="B37" s="302" t="s">
        <v>303</v>
      </c>
      <c r="C37" s="1182"/>
      <c r="D37" s="1182"/>
      <c r="E37" s="1182"/>
      <c r="F37" s="1182"/>
      <c r="G37" s="1182"/>
      <c r="H37" s="1182"/>
      <c r="I37" s="1182"/>
      <c r="J37" s="1182"/>
      <c r="K37" s="1182"/>
      <c r="L37" s="1182"/>
      <c r="M37" s="1183">
        <f t="shared" ref="M37:N37" si="6">SUM(M6:M36)</f>
        <v>1281</v>
      </c>
      <c r="N37" s="1183">
        <f t="shared" si="6"/>
        <v>172</v>
      </c>
      <c r="O37" s="1184"/>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304</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54</v>
      </c>
      <c r="E3" s="1196" t="s">
        <v>56</v>
      </c>
      <c r="F3" s="1196" t="s">
        <v>58</v>
      </c>
      <c r="G3" s="1196" t="s">
        <v>60</v>
      </c>
      <c r="H3" s="1196" t="s">
        <v>62</v>
      </c>
      <c r="I3" s="1196" t="s">
        <v>64</v>
      </c>
      <c r="J3" s="1196" t="s">
        <v>66</v>
      </c>
      <c r="K3" s="1196" t="s">
        <v>68</v>
      </c>
      <c r="L3" s="1196" t="s">
        <v>70</v>
      </c>
      <c r="M3" s="1196" t="s">
        <v>72</v>
      </c>
      <c r="N3" s="1196" t="s">
        <v>74</v>
      </c>
      <c r="O3" s="1197" t="s">
        <v>303</v>
      </c>
      <c r="P3" s="1189"/>
      <c r="Q3" s="1189"/>
      <c r="R3" s="1189"/>
      <c r="S3" s="1189"/>
      <c r="T3" s="1189"/>
      <c r="U3" s="1189"/>
      <c r="V3" s="1198" t="s">
        <v>917</v>
      </c>
      <c r="W3" s="1191"/>
    </row>
    <row r="4">
      <c r="A4" s="1199"/>
      <c r="B4" s="1200" t="s">
        <v>465</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918</v>
      </c>
      <c r="C5" s="1204">
        <v>0.858</v>
      </c>
      <c r="D5" s="1204">
        <v>0.8513</v>
      </c>
      <c r="E5" s="1204">
        <v>0.9059</v>
      </c>
      <c r="F5" s="1204">
        <v>0.7996</v>
      </c>
      <c r="G5" s="1204">
        <v>0.4429</v>
      </c>
      <c r="H5" s="1204">
        <v>0.3864</v>
      </c>
      <c r="I5" s="1204">
        <v>0.6464</v>
      </c>
      <c r="J5" s="1204">
        <v>0.7749</v>
      </c>
      <c r="K5" s="1204">
        <v>0.8921</v>
      </c>
      <c r="L5" s="1204">
        <v>0.9074</v>
      </c>
      <c r="M5" s="1204">
        <v>0.8237</v>
      </c>
      <c r="N5" s="1204">
        <v>0.6729</v>
      </c>
      <c r="O5" s="1204">
        <v>0.7468</v>
      </c>
      <c r="P5" s="1189"/>
      <c r="Q5" s="1189"/>
      <c r="R5" s="1189"/>
      <c r="S5" s="1189"/>
      <c r="T5" s="1189"/>
      <c r="U5" s="1189"/>
      <c r="V5" s="1198"/>
      <c r="W5" s="1191"/>
    </row>
    <row r="6">
      <c r="A6" s="1199"/>
      <c r="B6" s="1205" t="s">
        <v>317</v>
      </c>
      <c r="C6" s="1206">
        <f t="shared" ref="C6:N6" si="1">iferror(indirect(C3&amp;"!G8"),"")</f>
        <v>0.7971141582</v>
      </c>
      <c r="D6" s="1206">
        <f t="shared" si="1"/>
        <v>0.8636160714</v>
      </c>
      <c r="E6" s="1206" t="str">
        <f t="shared" si="1"/>
        <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0.8303651148</v>
      </c>
      <c r="P6" s="1189"/>
      <c r="Q6" s="1189"/>
      <c r="R6" s="1189"/>
      <c r="S6" s="1189"/>
      <c r="T6" s="1189"/>
      <c r="U6" s="1189"/>
      <c r="V6" s="1198">
        <v>13.0</v>
      </c>
      <c r="W6" s="1191"/>
    </row>
    <row r="7">
      <c r="A7" s="1199"/>
      <c r="B7" s="1205" t="s">
        <v>318</v>
      </c>
      <c r="C7" s="1207">
        <f t="shared" ref="C7:N7" si="2">iferror(indirect(C3&amp;"!H8"),"")</f>
        <v>11211550</v>
      </c>
      <c r="D7" s="1207">
        <f t="shared" si="2"/>
        <v>12774306.13</v>
      </c>
      <c r="E7" s="1207">
        <f t="shared" si="2"/>
        <v>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23985856.13</v>
      </c>
      <c r="P7" s="1190"/>
      <c r="Q7" s="1189"/>
      <c r="R7" s="1189"/>
      <c r="S7" s="1189"/>
      <c r="T7" s="1189"/>
      <c r="U7" s="1189"/>
      <c r="V7" s="1198">
        <v>4.0</v>
      </c>
      <c r="W7" s="1191"/>
    </row>
    <row r="8">
      <c r="A8" s="1199"/>
      <c r="B8" s="1205" t="s">
        <v>919</v>
      </c>
      <c r="C8" s="1208">
        <f t="shared" ref="C8:N8" si="3">iferror(indirect(C3&amp;"!AZ20"),"")</f>
        <v>1169890</v>
      </c>
      <c r="D8" s="1208">
        <f t="shared" si="3"/>
        <v>1442268.915</v>
      </c>
      <c r="E8" s="1208">
        <f t="shared" si="3"/>
        <v>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2612158.915</v>
      </c>
      <c r="P8" s="1190"/>
      <c r="Q8" s="1189"/>
      <c r="R8" s="1189"/>
      <c r="S8" s="1189"/>
      <c r="T8" s="1189"/>
      <c r="U8" s="1189"/>
      <c r="V8" s="1198">
        <v>5.0</v>
      </c>
      <c r="W8" s="1191"/>
    </row>
    <row r="9">
      <c r="A9" s="1199"/>
      <c r="B9" s="1205" t="s">
        <v>806</v>
      </c>
      <c r="C9" s="1208">
        <f t="shared" ref="C9:N9" si="5">iferror(indirect(C3&amp;"!BG23")-indirect(C3&amp;"!BE24"),"")</f>
        <v>3802324.667</v>
      </c>
      <c r="D9" s="1208">
        <f t="shared" si="5"/>
        <v>4204965.667</v>
      </c>
      <c r="E9" s="1208" t="str">
        <f t="shared" si="5"/>
        <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8007290.333</v>
      </c>
      <c r="P9" s="1189"/>
      <c r="Q9" s="1190"/>
      <c r="R9" s="1189"/>
      <c r="S9" s="1189"/>
      <c r="T9" s="1189"/>
      <c r="U9" s="1189"/>
      <c r="V9" s="1198">
        <v>6.0</v>
      </c>
      <c r="W9" s="1191"/>
    </row>
    <row r="10">
      <c r="A10" s="1199"/>
      <c r="B10" s="1205" t="s">
        <v>920</v>
      </c>
      <c r="C10" s="1207">
        <f t="shared" ref="C10:N10" si="6">iferror(indirect(C3&amp;"!BB23")+indirect(C3&amp;"!BG40"),"")</f>
        <v>2722504</v>
      </c>
      <c r="D10" s="1207">
        <f t="shared" si="6"/>
        <v>3192490</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5914994</v>
      </c>
      <c r="P10" s="1189"/>
      <c r="Q10" s="1189"/>
      <c r="R10" s="1189"/>
      <c r="S10" s="1189"/>
      <c r="T10" s="1189"/>
      <c r="U10" s="1189"/>
      <c r="V10" s="1198">
        <v>7.0</v>
      </c>
      <c r="W10" s="1191"/>
    </row>
    <row r="11">
      <c r="A11" s="1199"/>
      <c r="B11" s="1205" t="s">
        <v>319</v>
      </c>
      <c r="C11" s="1207">
        <f t="shared" ref="C11:N11" si="7">iferror(indirect(C3&amp;"!I8"),"")</f>
        <v>348640.625</v>
      </c>
      <c r="D11" s="1207">
        <f t="shared" si="7"/>
        <v>384173.0389</v>
      </c>
      <c r="E11" s="1207">
        <f t="shared" si="7"/>
        <v>0</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732813.6639</v>
      </c>
      <c r="P11" s="1189"/>
      <c r="Q11" s="1189"/>
      <c r="R11" s="1189"/>
      <c r="S11" s="1189"/>
      <c r="T11" s="1189"/>
      <c r="U11" s="1189"/>
      <c r="V11" s="1198">
        <v>8.0</v>
      </c>
      <c r="W11" s="1191"/>
    </row>
    <row r="12">
      <c r="A12" s="1199"/>
      <c r="B12" s="1205" t="s">
        <v>320</v>
      </c>
      <c r="C12" s="1207">
        <f t="shared" ref="C12:N12" si="8">iferror(indirect(C3&amp;"!J8"),"")</f>
        <v>0</v>
      </c>
      <c r="D12" s="1207">
        <f t="shared" si="8"/>
        <v>15003</v>
      </c>
      <c r="E12" s="1207">
        <f t="shared" si="8"/>
        <v>0</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15003</v>
      </c>
      <c r="P12" s="1189"/>
      <c r="Q12" s="1189"/>
      <c r="R12" s="1189"/>
      <c r="S12" s="1189"/>
      <c r="T12" s="1189"/>
      <c r="U12" s="1189"/>
      <c r="V12" s="1198">
        <v>9.0</v>
      </c>
      <c r="W12" s="1191"/>
    </row>
    <row r="13">
      <c r="A13" s="1199"/>
      <c r="B13" s="1205" t="s">
        <v>323</v>
      </c>
      <c r="C13" s="1207">
        <f t="shared" ref="C13:N13" si="9">iferror(indirect(C3&amp;"!M8"),"")</f>
        <v>3168190.708</v>
      </c>
      <c r="D13" s="1207">
        <f t="shared" si="9"/>
        <v>3550408.509</v>
      </c>
      <c r="E13" s="1207" t="str">
        <f t="shared" si="9"/>
        <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6718599.217</v>
      </c>
      <c r="P13" s="1189"/>
      <c r="Q13" s="1189"/>
      <c r="R13" s="1189"/>
      <c r="S13" s="1189"/>
      <c r="T13" s="1189"/>
      <c r="U13" s="1189"/>
      <c r="V13" s="1198">
        <v>10.0</v>
      </c>
      <c r="W13" s="1191"/>
    </row>
    <row r="14">
      <c r="A14" s="1199"/>
      <c r="B14" s="1205" t="s">
        <v>784</v>
      </c>
      <c r="C14" s="1206">
        <f t="shared" ref="C14:N14" si="10">iferror(indirect(C3&amp;"!E8"),"")</f>
        <v>0.5819738276</v>
      </c>
      <c r="D14" s="1206">
        <f t="shared" si="10"/>
        <v>0.5790886481</v>
      </c>
      <c r="E14" s="1206" t="str">
        <f t="shared" si="10"/>
        <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0.5804372485</v>
      </c>
      <c r="P14" s="1189"/>
      <c r="Q14" s="1189"/>
      <c r="R14" s="1189"/>
      <c r="S14" s="1189"/>
      <c r="T14" s="1189"/>
      <c r="U14" s="1189"/>
      <c r="V14" s="1198">
        <v>11.0</v>
      </c>
      <c r="W14" s="1191"/>
    </row>
    <row r="15">
      <c r="A15" s="1199"/>
      <c r="B15" s="1205" t="s">
        <v>315</v>
      </c>
      <c r="C15" s="1206">
        <f t="shared" ref="C15:N15" si="11">iferror(indirect(C3&amp;"!C8"),"")</f>
        <v>0.2825827569</v>
      </c>
      <c r="D15" s="1206">
        <f t="shared" si="11"/>
        <v>0.2779335701</v>
      </c>
      <c r="E15" s="1206" t="str">
        <f t="shared" si="11"/>
        <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0.2801067088</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921</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921</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318</v>
      </c>
      <c r="C19" s="1208">
        <f t="shared" ref="C19:C27" si="12">sumif($3:$3,$18:$18,7:7)</f>
        <v>11211550</v>
      </c>
      <c r="D19" s="1208">
        <f>sumif(3:3,18:18,7:7)</f>
        <v>11211550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919</v>
      </c>
      <c r="C20" s="1208">
        <f t="shared" si="12"/>
        <v>1169890</v>
      </c>
      <c r="D20" s="1208">
        <f t="shared" ref="D20:D27" si="14">sumif($3:$3,$18:$18,8:8)</f>
        <v>1169890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806</v>
      </c>
      <c r="C21" s="1208">
        <f t="shared" si="12"/>
        <v>3802324.667</v>
      </c>
      <c r="D21" s="1208">
        <f t="shared" si="14"/>
        <v>3802324.667</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920</v>
      </c>
      <c r="C22" s="1208">
        <f t="shared" si="12"/>
        <v>2722504</v>
      </c>
      <c r="D22" s="1208">
        <f t="shared" si="14"/>
        <v>2722504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922</v>
      </c>
      <c r="C23" s="1208">
        <f t="shared" si="12"/>
        <v>348640.625</v>
      </c>
      <c r="D23" s="1208">
        <f t="shared" si="14"/>
        <v>348640.625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320</v>
      </c>
      <c r="C24" s="1208">
        <f t="shared" si="12"/>
        <v>0</v>
      </c>
      <c r="D24" s="1208">
        <f t="shared" si="14"/>
        <v>0</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323</v>
      </c>
      <c r="C25" s="1208">
        <f t="shared" si="12"/>
        <v>3168190.708</v>
      </c>
      <c r="D25" s="1208">
        <f t="shared" si="14"/>
        <v>3168190.708</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784</v>
      </c>
      <c r="C26" s="1213">
        <f t="shared" si="12"/>
        <v>0.5819738276</v>
      </c>
      <c r="D26" s="1213">
        <f t="shared" si="14"/>
        <v>0.5819738276</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315</v>
      </c>
      <c r="C27" s="1213">
        <f t="shared" si="12"/>
        <v>0.2825827569</v>
      </c>
      <c r="D27" s="1213">
        <f t="shared" si="14"/>
        <v>0.2825827569</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274"/>
    </row>
    <row r="2">
      <c r="B2" s="1216" t="s">
        <v>923</v>
      </c>
      <c r="C2" s="1217"/>
      <c r="D2" s="1217"/>
      <c r="E2" s="1217"/>
      <c r="F2" s="1217"/>
      <c r="G2" s="1217"/>
      <c r="H2" s="1217"/>
      <c r="I2" s="1217"/>
      <c r="J2" s="1217"/>
      <c r="K2" s="1217"/>
      <c r="L2" s="1217"/>
      <c r="M2" s="1217"/>
      <c r="N2" s="1218"/>
      <c r="O2" s="1218"/>
      <c r="P2" s="1219"/>
      <c r="Q2" s="1219"/>
      <c r="R2" s="1219"/>
      <c r="S2" s="1219"/>
      <c r="T2" s="1219"/>
      <c r="U2" s="1219"/>
      <c r="V2" s="1219"/>
      <c r="W2" s="1219"/>
      <c r="X2" s="1219"/>
      <c r="Y2" s="1219"/>
      <c r="Z2" s="1219"/>
      <c r="AA2" s="1219"/>
      <c r="AB2" s="1219"/>
      <c r="AC2" s="1219"/>
      <c r="AD2" s="1219"/>
      <c r="AE2" s="1219"/>
      <c r="AF2" s="1219"/>
      <c r="AG2" s="1219"/>
      <c r="AH2" s="1220"/>
      <c r="AI2" s="1219"/>
      <c r="AJ2" s="1219"/>
      <c r="AK2" s="1219"/>
      <c r="AL2" s="1219"/>
      <c r="AM2" s="1219"/>
      <c r="AN2" s="1221"/>
      <c r="AO2" s="1221"/>
      <c r="AP2" s="1221"/>
      <c r="AQ2" s="1221"/>
      <c r="AR2" s="1221"/>
      <c r="AS2" s="1221"/>
      <c r="AT2" s="1221"/>
      <c r="AU2" s="1221"/>
    </row>
    <row r="3">
      <c r="B3" s="1222" t="s">
        <v>924</v>
      </c>
      <c r="C3" s="1223"/>
      <c r="D3" s="1223"/>
      <c r="E3" s="1223"/>
      <c r="F3" s="1223"/>
      <c r="G3" s="622"/>
      <c r="H3" s="1224" t="s">
        <v>925</v>
      </c>
      <c r="I3" s="1223"/>
      <c r="J3" s="1223"/>
      <c r="K3" s="1223"/>
      <c r="L3" s="1223"/>
      <c r="M3" s="622"/>
      <c r="N3" s="1218"/>
      <c r="O3" s="1218"/>
      <c r="P3" s="1219"/>
      <c r="Q3" s="1219"/>
      <c r="R3" s="1219"/>
      <c r="S3" s="1219"/>
      <c r="T3" s="1219"/>
      <c r="U3" s="1219"/>
      <c r="V3" s="1219"/>
      <c r="W3" s="1219"/>
      <c r="X3" s="1219"/>
      <c r="Y3" s="1219"/>
      <c r="Z3" s="1219"/>
      <c r="AA3" s="1219"/>
      <c r="AB3" s="1219"/>
      <c r="AC3" s="1219"/>
      <c r="AD3" s="1219"/>
      <c r="AE3" s="1219"/>
      <c r="AF3" s="1219"/>
      <c r="AG3" s="1219"/>
      <c r="AH3" s="1220"/>
      <c r="AI3" s="1219"/>
      <c r="AJ3" s="1219"/>
      <c r="AK3" s="1219"/>
      <c r="AL3" s="1219"/>
      <c r="AM3" s="1219"/>
      <c r="AN3" s="1221"/>
      <c r="AO3" s="1221"/>
      <c r="AP3" s="1221"/>
      <c r="AQ3" s="1221"/>
      <c r="AR3" s="1221"/>
      <c r="AS3" s="1221"/>
      <c r="AT3" s="1221"/>
      <c r="AU3" s="1221"/>
    </row>
    <row r="4">
      <c r="B4" s="1225"/>
      <c r="C4" s="1226" t="s">
        <v>461</v>
      </c>
      <c r="D4" s="1226" t="s">
        <v>546</v>
      </c>
      <c r="E4" s="1227" t="s">
        <v>35</v>
      </c>
      <c r="F4" s="1226" t="s">
        <v>926</v>
      </c>
      <c r="G4" s="1226" t="s">
        <v>927</v>
      </c>
      <c r="H4" s="1228"/>
      <c r="I4" s="1229" t="s">
        <v>461</v>
      </c>
      <c r="J4" s="1229" t="s">
        <v>546</v>
      </c>
      <c r="K4" s="1230" t="s">
        <v>35</v>
      </c>
      <c r="L4" s="1229" t="s">
        <v>926</v>
      </c>
      <c r="M4" s="1229" t="s">
        <v>927</v>
      </c>
      <c r="N4" s="1218"/>
      <c r="O4" s="1218"/>
      <c r="P4" s="1219"/>
      <c r="Q4" s="1219"/>
      <c r="R4" s="1219"/>
      <c r="S4" s="1219"/>
      <c r="T4" s="1219"/>
      <c r="U4" s="1219"/>
      <c r="V4" s="1219"/>
      <c r="W4" s="1219"/>
      <c r="X4" s="1219"/>
      <c r="Y4" s="1219"/>
      <c r="Z4" s="1219"/>
      <c r="AA4" s="1219"/>
      <c r="AB4" s="1219"/>
      <c r="AC4" s="1219"/>
      <c r="AD4" s="1219"/>
      <c r="AE4" s="1219"/>
      <c r="AF4" s="1219"/>
      <c r="AG4" s="1219"/>
      <c r="AH4" s="1220"/>
      <c r="AI4" s="1219"/>
      <c r="AJ4" s="1219"/>
      <c r="AK4" s="1219"/>
      <c r="AL4" s="1219"/>
      <c r="AM4" s="1219"/>
      <c r="AN4" s="1221"/>
      <c r="AO4" s="1221"/>
      <c r="AP4" s="1221"/>
      <c r="AQ4" s="1221"/>
      <c r="AR4" s="1221"/>
      <c r="AS4" s="1221"/>
      <c r="AT4" s="1221"/>
      <c r="AU4" s="1221"/>
    </row>
    <row r="5">
      <c r="B5" s="1231" t="s">
        <v>52</v>
      </c>
      <c r="C5" s="1232">
        <v>6742.0</v>
      </c>
      <c r="D5" s="1232">
        <v>6.0</v>
      </c>
      <c r="E5" s="1233">
        <v>9.0E-4</v>
      </c>
      <c r="F5" s="1234"/>
      <c r="G5" s="1235"/>
      <c r="H5" s="1236" t="s">
        <v>52</v>
      </c>
      <c r="I5" s="1237">
        <f>'🔵クレーム'!V10</f>
        <v>10539</v>
      </c>
      <c r="J5" s="1237">
        <f>'🔵クレーム'!T10</f>
        <v>9</v>
      </c>
      <c r="K5" s="1238">
        <f>'🔵クレーム'!X10</f>
        <v>0.000853970965</v>
      </c>
      <c r="L5" s="1239">
        <f>O28</f>
        <v>3</v>
      </c>
      <c r="M5" s="1240">
        <f t="shared" ref="M5:M6" si="1">L5/I5</f>
        <v>0.0002846569883</v>
      </c>
      <c r="N5" s="1218"/>
      <c r="O5" s="1218"/>
      <c r="P5" s="1219"/>
      <c r="Q5" s="1219"/>
      <c r="R5" s="1219"/>
      <c r="S5" s="1219"/>
      <c r="T5" s="1219"/>
      <c r="U5" s="1219"/>
      <c r="V5" s="1219"/>
      <c r="W5" s="1219"/>
      <c r="X5" s="1219"/>
      <c r="Y5" s="1219"/>
      <c r="Z5" s="1219"/>
      <c r="AA5" s="1219"/>
      <c r="AB5" s="1219"/>
      <c r="AC5" s="1219"/>
      <c r="AD5" s="1219"/>
      <c r="AE5" s="1219"/>
      <c r="AF5" s="1219"/>
      <c r="AG5" s="1219"/>
      <c r="AH5" s="1220"/>
      <c r="AI5" s="1219"/>
      <c r="AJ5" s="1219"/>
      <c r="AK5" s="1219"/>
      <c r="AL5" s="1219"/>
      <c r="AM5" s="1219"/>
      <c r="AN5" s="1221"/>
      <c r="AO5" s="1221"/>
      <c r="AP5" s="1221"/>
      <c r="AQ5" s="1221"/>
      <c r="AR5" s="1221"/>
      <c r="AS5" s="1221"/>
      <c r="AT5" s="1221"/>
      <c r="AU5" s="1221"/>
    </row>
    <row r="6">
      <c r="B6" s="1241" t="s">
        <v>34</v>
      </c>
      <c r="C6" s="1232">
        <v>7068.0</v>
      </c>
      <c r="D6" s="1232">
        <v>10.0</v>
      </c>
      <c r="E6" s="1233">
        <v>0.0014</v>
      </c>
      <c r="F6" s="1234"/>
      <c r="G6" s="1235"/>
      <c r="H6" s="1242" t="s">
        <v>34</v>
      </c>
      <c r="I6" s="1237">
        <f>'🔵クレーム'!V11</f>
        <v>12380</v>
      </c>
      <c r="J6" s="1237">
        <f>'🔵クレーム'!T11</f>
        <v>8</v>
      </c>
      <c r="K6" s="1238">
        <f>'🔵クレーム'!X11</f>
        <v>0.0006462035541</v>
      </c>
      <c r="L6" s="1239">
        <f>P28</f>
        <v>1</v>
      </c>
      <c r="M6" s="1240">
        <f t="shared" si="1"/>
        <v>0.00008077544426</v>
      </c>
      <c r="N6" s="1218"/>
      <c r="O6" s="1218"/>
      <c r="P6" s="1219"/>
      <c r="Q6" s="1219"/>
      <c r="R6" s="1219"/>
      <c r="S6" s="1219"/>
      <c r="T6" s="1219"/>
      <c r="U6" s="1219"/>
      <c r="V6" s="1219"/>
      <c r="W6" s="1219"/>
      <c r="X6" s="1219"/>
      <c r="Y6" s="1219"/>
      <c r="Z6" s="1219"/>
      <c r="AA6" s="1219"/>
      <c r="AB6" s="1219"/>
      <c r="AC6" s="1219"/>
      <c r="AD6" s="1219"/>
      <c r="AE6" s="1219"/>
      <c r="AF6" s="1219"/>
      <c r="AG6" s="1219"/>
      <c r="AH6" s="1220"/>
      <c r="AI6" s="1219"/>
      <c r="AJ6" s="1219"/>
      <c r="AK6" s="1219"/>
      <c r="AL6" s="1219"/>
      <c r="AM6" s="1219"/>
      <c r="AN6" s="1221"/>
      <c r="AO6" s="1221"/>
      <c r="AP6" s="1221"/>
      <c r="AQ6" s="1221"/>
      <c r="AR6" s="1221"/>
      <c r="AS6" s="1221"/>
      <c r="AT6" s="1221"/>
      <c r="AU6" s="1221"/>
    </row>
    <row r="7">
      <c r="B7" s="1241" t="s">
        <v>55</v>
      </c>
      <c r="C7" s="1232">
        <v>6786.0</v>
      </c>
      <c r="D7" s="1232">
        <v>7.0</v>
      </c>
      <c r="E7" s="1233">
        <v>0.001</v>
      </c>
      <c r="F7" s="1234"/>
      <c r="G7" s="1235"/>
      <c r="H7" s="1242" t="s">
        <v>55</v>
      </c>
      <c r="I7" s="1237">
        <f>'🔵クレーム'!V12</f>
        <v>0</v>
      </c>
      <c r="J7" s="1237">
        <f>'🔵クレーム'!T12</f>
        <v>0</v>
      </c>
      <c r="K7" s="1238" t="str">
        <f>'🔵クレーム'!X12</f>
        <v/>
      </c>
      <c r="L7" s="1243">
        <f>Q28</f>
        <v>0</v>
      </c>
      <c r="M7" s="1240" t="str">
        <f>iferror(L7/I7,"")</f>
        <v/>
      </c>
      <c r="N7" s="1218"/>
      <c r="O7" s="1218"/>
      <c r="P7" s="1219"/>
      <c r="Q7" s="1219"/>
      <c r="R7" s="1219"/>
      <c r="S7" s="1219"/>
      <c r="T7" s="1219"/>
      <c r="U7" s="1219"/>
      <c r="V7" s="1219"/>
      <c r="W7" s="1219"/>
      <c r="X7" s="1219"/>
      <c r="Y7" s="1219"/>
      <c r="Z7" s="1219"/>
      <c r="AA7" s="1219"/>
      <c r="AB7" s="1219"/>
      <c r="AC7" s="1219"/>
      <c r="AD7" s="1219"/>
      <c r="AE7" s="1219"/>
      <c r="AF7" s="1219"/>
      <c r="AG7" s="1219"/>
      <c r="AH7" s="1220"/>
      <c r="AI7" s="1219"/>
      <c r="AJ7" s="1219"/>
      <c r="AK7" s="1219"/>
      <c r="AL7" s="1219"/>
      <c r="AM7" s="1219"/>
      <c r="AN7" s="1221"/>
      <c r="AO7" s="1221"/>
      <c r="AP7" s="1221"/>
      <c r="AQ7" s="1221"/>
      <c r="AR7" s="1221"/>
      <c r="AS7" s="1221"/>
      <c r="AT7" s="1221"/>
      <c r="AU7" s="1221"/>
    </row>
    <row r="8">
      <c r="B8" s="1241" t="s">
        <v>57</v>
      </c>
      <c r="C8" s="1232">
        <v>6115.0</v>
      </c>
      <c r="D8" s="1232">
        <v>11.0</v>
      </c>
      <c r="E8" s="1233">
        <v>0.0018</v>
      </c>
      <c r="F8" s="1234"/>
      <c r="G8" s="1235"/>
      <c r="H8" s="1242" t="s">
        <v>57</v>
      </c>
      <c r="I8" s="1237" t="str">
        <f>'🔵クレーム'!V13</f>
        <v/>
      </c>
      <c r="J8" s="1237">
        <f>'🔵クレーム'!T13</f>
        <v>0</v>
      </c>
      <c r="K8" s="1238" t="str">
        <f>'🔵クレーム'!X13</f>
        <v/>
      </c>
      <c r="L8" s="1239">
        <f>R28</f>
        <v>0</v>
      </c>
      <c r="M8" s="1240" t="str">
        <f t="shared" ref="M8:M16" si="2">iferror("",L8/I8)</f>
        <v/>
      </c>
      <c r="N8" s="1218"/>
      <c r="O8" s="1218"/>
      <c r="P8" s="1219"/>
      <c r="Q8" s="1219"/>
      <c r="R8" s="1219"/>
      <c r="S8" s="1219"/>
      <c r="T8" s="1219"/>
      <c r="U8" s="1219"/>
      <c r="V8" s="1219"/>
      <c r="W8" s="1219"/>
      <c r="X8" s="1219"/>
      <c r="Y8" s="1219"/>
      <c r="Z8" s="1219"/>
      <c r="AA8" s="1219"/>
      <c r="AB8" s="1219"/>
      <c r="AC8" s="1219"/>
      <c r="AD8" s="1219"/>
      <c r="AE8" s="1219"/>
      <c r="AF8" s="1219"/>
      <c r="AG8" s="1219"/>
      <c r="AH8" s="1220"/>
      <c r="AI8" s="1219"/>
      <c r="AJ8" s="1219"/>
      <c r="AK8" s="1219"/>
      <c r="AL8" s="1219"/>
      <c r="AM8" s="1219"/>
      <c r="AN8" s="1221"/>
      <c r="AO8" s="1221"/>
      <c r="AP8" s="1221"/>
      <c r="AQ8" s="1221"/>
      <c r="AR8" s="1221"/>
      <c r="AS8" s="1221"/>
      <c r="AT8" s="1221"/>
      <c r="AU8" s="1221"/>
    </row>
    <row r="9">
      <c r="B9" s="1241" t="s">
        <v>59</v>
      </c>
      <c r="C9" s="1232">
        <v>5902.0</v>
      </c>
      <c r="D9" s="1232">
        <v>5.0</v>
      </c>
      <c r="E9" s="1233">
        <v>8.0E-4</v>
      </c>
      <c r="F9" s="1234"/>
      <c r="G9" s="1235"/>
      <c r="H9" s="1242" t="s">
        <v>59</v>
      </c>
      <c r="I9" s="1237" t="str">
        <f>'🔵クレーム'!V14</f>
        <v/>
      </c>
      <c r="J9" s="1237">
        <f>'🔵クレーム'!T14</f>
        <v>0</v>
      </c>
      <c r="K9" s="1238" t="str">
        <f>'🔵クレーム'!X14</f>
        <v/>
      </c>
      <c r="L9" s="1239">
        <f>S28</f>
        <v>0</v>
      </c>
      <c r="M9" s="1240" t="str">
        <f t="shared" si="2"/>
        <v/>
      </c>
      <c r="N9" s="1218"/>
      <c r="O9" s="1218"/>
      <c r="P9" s="1219"/>
      <c r="Q9" s="1219"/>
      <c r="R9" s="1219"/>
      <c r="S9" s="1219"/>
      <c r="T9" s="1219"/>
      <c r="U9" s="1219"/>
      <c r="V9" s="1219"/>
      <c r="W9" s="1219"/>
      <c r="X9" s="1219"/>
      <c r="Y9" s="1219"/>
      <c r="Z9" s="1219"/>
      <c r="AA9" s="1219"/>
      <c r="AB9" s="1219"/>
      <c r="AC9" s="1219"/>
      <c r="AD9" s="1219"/>
      <c r="AE9" s="1219"/>
      <c r="AF9" s="1219"/>
      <c r="AG9" s="1219"/>
      <c r="AH9" s="1220"/>
      <c r="AI9" s="1219"/>
      <c r="AJ9" s="1219"/>
      <c r="AK9" s="1219"/>
      <c r="AL9" s="1219"/>
      <c r="AM9" s="1219"/>
      <c r="AN9" s="1221"/>
      <c r="AO9" s="1221"/>
      <c r="AP9" s="1221"/>
      <c r="AQ9" s="1221"/>
      <c r="AR9" s="1221"/>
      <c r="AS9" s="1221"/>
      <c r="AT9" s="1221"/>
      <c r="AU9" s="1221"/>
    </row>
    <row r="10">
      <c r="B10" s="1241" t="s">
        <v>61</v>
      </c>
      <c r="C10" s="1232">
        <v>5635.0</v>
      </c>
      <c r="D10" s="1232">
        <v>8.0</v>
      </c>
      <c r="E10" s="1233">
        <v>0.0014</v>
      </c>
      <c r="F10" s="1234"/>
      <c r="G10" s="1235"/>
      <c r="H10" s="1242" t="s">
        <v>61</v>
      </c>
      <c r="I10" s="1237" t="str">
        <f>'🔵クレーム'!V15</f>
        <v/>
      </c>
      <c r="J10" s="1237">
        <f>'🔵クレーム'!T15</f>
        <v>0</v>
      </c>
      <c r="K10" s="1238" t="str">
        <f>'🔵クレーム'!X15</f>
        <v/>
      </c>
      <c r="L10" s="1239">
        <f>T28</f>
        <v>0</v>
      </c>
      <c r="M10" s="1240" t="str">
        <f t="shared" si="2"/>
        <v/>
      </c>
      <c r="N10" s="1218"/>
      <c r="O10" s="1218"/>
      <c r="P10" s="1219"/>
      <c r="Q10" s="1219"/>
      <c r="R10" s="1219"/>
      <c r="S10" s="1219"/>
      <c r="T10" s="1219"/>
      <c r="U10" s="1219"/>
      <c r="V10" s="1219"/>
      <c r="W10" s="1219"/>
      <c r="X10" s="1219"/>
      <c r="Y10" s="1219"/>
      <c r="Z10" s="1219"/>
      <c r="AA10" s="1219"/>
      <c r="AB10" s="1219"/>
      <c r="AC10" s="1219"/>
      <c r="AD10" s="1219"/>
      <c r="AE10" s="1219"/>
      <c r="AF10" s="1219"/>
      <c r="AG10" s="1219"/>
      <c r="AH10" s="1220"/>
      <c r="AI10" s="1219"/>
      <c r="AJ10" s="1219"/>
      <c r="AK10" s="1219"/>
      <c r="AL10" s="1219"/>
      <c r="AM10" s="1219"/>
      <c r="AN10" s="1221"/>
      <c r="AO10" s="1221"/>
      <c r="AP10" s="1221"/>
      <c r="AQ10" s="1221"/>
      <c r="AR10" s="1221"/>
      <c r="AS10" s="1221"/>
      <c r="AT10" s="1221"/>
      <c r="AU10" s="1221"/>
    </row>
    <row r="11">
      <c r="B11" s="1241" t="s">
        <v>63</v>
      </c>
      <c r="C11" s="1232">
        <v>7357.0</v>
      </c>
      <c r="D11" s="1232">
        <v>4.0</v>
      </c>
      <c r="E11" s="1233">
        <v>5.0E-4</v>
      </c>
      <c r="F11" s="1244">
        <v>3.0</v>
      </c>
      <c r="G11" s="1245">
        <v>4.0E-4</v>
      </c>
      <c r="H11" s="1242" t="s">
        <v>63</v>
      </c>
      <c r="I11" s="1237" t="str">
        <f>'🔵クレーム'!V16</f>
        <v/>
      </c>
      <c r="J11" s="1237">
        <f>'🔵クレーム'!T16</f>
        <v>0</v>
      </c>
      <c r="K11" s="1238" t="str">
        <f>'🔵クレーム'!X16</f>
        <v/>
      </c>
      <c r="L11" s="1239">
        <f>U28</f>
        <v>0</v>
      </c>
      <c r="M11" s="1240" t="str">
        <f t="shared" si="2"/>
        <v/>
      </c>
      <c r="N11" s="1218"/>
      <c r="O11" s="1218"/>
      <c r="P11" s="1219"/>
      <c r="Q11" s="1219"/>
      <c r="R11" s="1219"/>
      <c r="S11" s="1219"/>
      <c r="T11" s="1219"/>
      <c r="U11" s="1219"/>
      <c r="V11" s="1219"/>
      <c r="W11" s="1219"/>
      <c r="X11" s="1219"/>
      <c r="Y11" s="1219"/>
      <c r="Z11" s="1219"/>
      <c r="AA11" s="1219"/>
      <c r="AB11" s="1219"/>
      <c r="AC11" s="1219"/>
      <c r="AD11" s="1219"/>
      <c r="AE11" s="1219"/>
      <c r="AF11" s="1219"/>
      <c r="AG11" s="1219"/>
      <c r="AH11" s="1220"/>
      <c r="AI11" s="1219"/>
      <c r="AJ11" s="1219"/>
      <c r="AK11" s="1219"/>
      <c r="AL11" s="1219"/>
      <c r="AM11" s="1219"/>
      <c r="AN11" s="1221"/>
      <c r="AO11" s="1221"/>
      <c r="AP11" s="1221"/>
      <c r="AQ11" s="1221"/>
      <c r="AR11" s="1221"/>
      <c r="AS11" s="1221"/>
      <c r="AT11" s="1221"/>
      <c r="AU11" s="1221"/>
    </row>
    <row r="12">
      <c r="B12" s="1241" t="s">
        <v>65</v>
      </c>
      <c r="C12" s="1232">
        <v>6568.0</v>
      </c>
      <c r="D12" s="1232">
        <v>4.0</v>
      </c>
      <c r="E12" s="1233">
        <v>6.0E-4</v>
      </c>
      <c r="F12" s="1244">
        <v>1.0</v>
      </c>
      <c r="G12" s="1245">
        <v>2.0E-4</v>
      </c>
      <c r="H12" s="1242" t="s">
        <v>65</v>
      </c>
      <c r="I12" s="1237" t="str">
        <f>'🔵クレーム'!V17</f>
        <v/>
      </c>
      <c r="J12" s="1237">
        <f>'🔵クレーム'!T17</f>
        <v>0</v>
      </c>
      <c r="K12" s="1238" t="str">
        <f>'🔵クレーム'!X17</f>
        <v/>
      </c>
      <c r="L12" s="1239">
        <f>V28</f>
        <v>0</v>
      </c>
      <c r="M12" s="1240" t="str">
        <f t="shared" si="2"/>
        <v/>
      </c>
      <c r="N12" s="1218"/>
      <c r="O12" s="1218"/>
      <c r="P12" s="1219"/>
      <c r="Q12" s="1219"/>
      <c r="R12" s="1219"/>
      <c r="S12" s="1219"/>
      <c r="T12" s="1219"/>
      <c r="U12" s="1219"/>
      <c r="V12" s="1219"/>
      <c r="W12" s="1219"/>
      <c r="X12" s="1219"/>
      <c r="Y12" s="1219"/>
      <c r="Z12" s="1219"/>
      <c r="AA12" s="1219"/>
      <c r="AB12" s="1219"/>
      <c r="AC12" s="1219"/>
      <c r="AD12" s="1219"/>
      <c r="AE12" s="1219"/>
      <c r="AF12" s="1219"/>
      <c r="AG12" s="1219"/>
      <c r="AH12" s="1220"/>
      <c r="AI12" s="1219"/>
      <c r="AJ12" s="1219"/>
      <c r="AK12" s="1219"/>
      <c r="AL12" s="1219"/>
      <c r="AM12" s="1219"/>
      <c r="AN12" s="1221"/>
      <c r="AO12" s="1221"/>
      <c r="AP12" s="1221"/>
      <c r="AQ12" s="1221"/>
      <c r="AR12" s="1221"/>
      <c r="AS12" s="1221"/>
      <c r="AT12" s="1221"/>
      <c r="AU12" s="1221"/>
    </row>
    <row r="13">
      <c r="B13" s="1241" t="s">
        <v>67</v>
      </c>
      <c r="C13" s="1232">
        <v>6742.0</v>
      </c>
      <c r="D13" s="1232">
        <v>8.0</v>
      </c>
      <c r="E13" s="1233">
        <v>0.0012</v>
      </c>
      <c r="F13" s="1244">
        <v>4.0</v>
      </c>
      <c r="G13" s="1245">
        <v>6.0E-4</v>
      </c>
      <c r="H13" s="1242" t="s">
        <v>67</v>
      </c>
      <c r="I13" s="1237" t="str">
        <f>'🔵クレーム'!V18</f>
        <v/>
      </c>
      <c r="J13" s="1237">
        <f>'🔵クレーム'!T18</f>
        <v>0</v>
      </c>
      <c r="K13" s="1238" t="str">
        <f>'🔵クレーム'!X18</f>
        <v/>
      </c>
      <c r="L13" s="1239">
        <f>W28</f>
        <v>0</v>
      </c>
      <c r="M13" s="1240" t="str">
        <f t="shared" si="2"/>
        <v/>
      </c>
      <c r="N13" s="1218"/>
      <c r="O13" s="1218"/>
      <c r="P13" s="1219"/>
      <c r="Q13" s="1219"/>
      <c r="R13" s="1219"/>
      <c r="S13" s="1219"/>
      <c r="T13" s="1219"/>
      <c r="U13" s="1219"/>
      <c r="V13" s="1219"/>
      <c r="W13" s="1219"/>
      <c r="X13" s="1219"/>
      <c r="Y13" s="1219"/>
      <c r="Z13" s="1219"/>
      <c r="AA13" s="1219"/>
      <c r="AB13" s="1219"/>
      <c r="AC13" s="1219"/>
      <c r="AD13" s="1219"/>
      <c r="AE13" s="1219"/>
      <c r="AF13" s="1219"/>
      <c r="AG13" s="1219"/>
      <c r="AH13" s="1220"/>
      <c r="AI13" s="1219"/>
      <c r="AJ13" s="1219"/>
      <c r="AK13" s="1219"/>
      <c r="AL13" s="1219"/>
      <c r="AM13" s="1219"/>
      <c r="AN13" s="1221"/>
      <c r="AO13" s="1221"/>
      <c r="AP13" s="1221"/>
      <c r="AQ13" s="1221"/>
      <c r="AR13" s="1221"/>
      <c r="AS13" s="1221"/>
      <c r="AT13" s="1221"/>
      <c r="AU13" s="1221"/>
    </row>
    <row r="14">
      <c r="B14" s="1241" t="s">
        <v>69</v>
      </c>
      <c r="C14" s="1232">
        <v>6344.0</v>
      </c>
      <c r="D14" s="1232">
        <v>7.0</v>
      </c>
      <c r="E14" s="1233">
        <v>0.0011</v>
      </c>
      <c r="F14" s="1244">
        <v>5.0</v>
      </c>
      <c r="G14" s="1245">
        <v>8.0E-4</v>
      </c>
      <c r="H14" s="1242" t="s">
        <v>69</v>
      </c>
      <c r="I14" s="1237" t="str">
        <f>'🔵クレーム'!V19</f>
        <v/>
      </c>
      <c r="J14" s="1237">
        <f>'🔵クレーム'!T19</f>
        <v>0</v>
      </c>
      <c r="K14" s="1238" t="str">
        <f>'🔵クレーム'!X19</f>
        <v/>
      </c>
      <c r="L14" s="1239">
        <f>X28</f>
        <v>0</v>
      </c>
      <c r="M14" s="1240" t="str">
        <f t="shared" si="2"/>
        <v/>
      </c>
      <c r="N14" s="1218"/>
      <c r="O14" s="1218"/>
      <c r="P14" s="1219"/>
      <c r="Q14" s="1219"/>
      <c r="R14" s="1219"/>
      <c r="S14" s="1219"/>
      <c r="T14" s="1219"/>
      <c r="U14" s="1219"/>
      <c r="V14" s="1219"/>
      <c r="W14" s="1219"/>
      <c r="X14" s="1219"/>
      <c r="Y14" s="1219"/>
      <c r="Z14" s="1219"/>
      <c r="AA14" s="1219"/>
      <c r="AB14" s="1219"/>
      <c r="AC14" s="1219"/>
      <c r="AD14" s="1219"/>
      <c r="AE14" s="1219"/>
      <c r="AF14" s="1219"/>
      <c r="AG14" s="1219"/>
      <c r="AH14" s="1220"/>
      <c r="AI14" s="1219"/>
      <c r="AJ14" s="1219"/>
      <c r="AK14" s="1219"/>
      <c r="AL14" s="1219"/>
      <c r="AM14" s="1219"/>
      <c r="AN14" s="1221"/>
      <c r="AO14" s="1221"/>
      <c r="AP14" s="1221"/>
      <c r="AQ14" s="1221"/>
      <c r="AR14" s="1221"/>
      <c r="AS14" s="1221"/>
      <c r="AT14" s="1221"/>
      <c r="AU14" s="1221"/>
    </row>
    <row r="15">
      <c r="B15" s="1241" t="s">
        <v>71</v>
      </c>
      <c r="C15" s="1232">
        <v>6734.0</v>
      </c>
      <c r="D15" s="1232">
        <v>10.0</v>
      </c>
      <c r="E15" s="1233">
        <v>0.0015</v>
      </c>
      <c r="F15" s="1244">
        <v>4.0</v>
      </c>
      <c r="G15" s="1245">
        <v>6.0E-4</v>
      </c>
      <c r="H15" s="1242" t="s">
        <v>71</v>
      </c>
      <c r="I15" s="1237" t="str">
        <f>'🔵クレーム'!V20</f>
        <v/>
      </c>
      <c r="J15" s="1237">
        <f>'🔵クレーム'!T20</f>
        <v>0</v>
      </c>
      <c r="K15" s="1238" t="str">
        <f>'🔵クレーム'!X20</f>
        <v/>
      </c>
      <c r="L15" s="1239">
        <f>Y28</f>
        <v>0</v>
      </c>
      <c r="M15" s="1240" t="str">
        <f t="shared" si="2"/>
        <v/>
      </c>
      <c r="N15" s="1246" t="str">
        <f>IFERROR(__xludf.DUMMYFUNCTION("IMPORTRANGE(""https://docs.google.com/spreadsheets/d/1IwmJzWSnyLND6OifLqCCPKpZ1Ef6H2apOiA6Z_NYTZM/edit?gid=424013977#gid=424013977"",""口コミまとめ!B108:AA121"")"),"")</f>
        <v/>
      </c>
      <c r="O15" s="1247" t="str">
        <f>IFERROR(__xludf.DUMMYFUNCTION("""COMPUTED_VALUE"""),"2月")</f>
        <v>2月</v>
      </c>
      <c r="P15" s="1248" t="str">
        <f>IFERROR(__xludf.DUMMYFUNCTION("""COMPUTED_VALUE"""),"3月")</f>
        <v>3月</v>
      </c>
      <c r="Q15" s="1249" t="str">
        <f>IFERROR(__xludf.DUMMYFUNCTION("""COMPUTED_VALUE"""),"4月")</f>
        <v>4月</v>
      </c>
      <c r="R15" s="1248" t="str">
        <f>IFERROR(__xludf.DUMMYFUNCTION("""COMPUTED_VALUE"""),"5月")</f>
        <v>5月</v>
      </c>
      <c r="S15" s="1249" t="str">
        <f>IFERROR(__xludf.DUMMYFUNCTION("""COMPUTED_VALUE"""),"6月")</f>
        <v>6月</v>
      </c>
      <c r="T15" s="1248" t="str">
        <f>IFERROR(__xludf.DUMMYFUNCTION("""COMPUTED_VALUE"""),"7月")</f>
        <v>7月</v>
      </c>
      <c r="U15" s="1249" t="str">
        <f>IFERROR(__xludf.DUMMYFUNCTION("""COMPUTED_VALUE"""),"8月")</f>
        <v>8月</v>
      </c>
      <c r="V15" s="1248" t="str">
        <f>IFERROR(__xludf.DUMMYFUNCTION("""COMPUTED_VALUE"""),"9月")</f>
        <v>9月</v>
      </c>
      <c r="W15" s="1249" t="str">
        <f>IFERROR(__xludf.DUMMYFUNCTION("""COMPUTED_VALUE"""),"10月")</f>
        <v>10月</v>
      </c>
      <c r="X15" s="1248" t="str">
        <f>IFERROR(__xludf.DUMMYFUNCTION("""COMPUTED_VALUE"""),"11月")</f>
        <v>11月</v>
      </c>
      <c r="Y15" s="1249" t="str">
        <f>IFERROR(__xludf.DUMMYFUNCTION("""COMPUTED_VALUE"""),"12月")</f>
        <v>12月</v>
      </c>
      <c r="Z15" s="1248" t="str">
        <f>IFERROR(__xludf.DUMMYFUNCTION("""COMPUTED_VALUE"""),"1月")</f>
        <v>1月</v>
      </c>
      <c r="AA15" s="1250" t="str">
        <f>IFERROR(__xludf.DUMMYFUNCTION("""COMPUTED_VALUE"""),"合計")</f>
        <v>合計</v>
      </c>
      <c r="AB15" s="1251"/>
      <c r="AC15" s="1249"/>
      <c r="AD15" s="1248"/>
      <c r="AE15" s="1251"/>
      <c r="AF15" s="1248"/>
      <c r="AG15" s="1251"/>
      <c r="AH15" s="1252"/>
      <c r="AI15" s="1251"/>
      <c r="AJ15" s="1248"/>
      <c r="AK15" s="1251"/>
      <c r="AL15" s="1248"/>
      <c r="AM15" s="1251"/>
      <c r="AN15" s="1221"/>
      <c r="AO15" s="1221"/>
      <c r="AP15" s="1221"/>
      <c r="AQ15" s="1221"/>
      <c r="AR15" s="1221"/>
      <c r="AS15" s="1221"/>
      <c r="AT15" s="1221"/>
      <c r="AU15" s="1221"/>
    </row>
    <row r="16">
      <c r="B16" s="1253" t="s">
        <v>73</v>
      </c>
      <c r="C16" s="1232">
        <v>6784.0</v>
      </c>
      <c r="D16" s="1232">
        <v>8.0</v>
      </c>
      <c r="E16" s="1233">
        <v>0.0012</v>
      </c>
      <c r="F16" s="1244">
        <v>2.0</v>
      </c>
      <c r="G16" s="1245">
        <v>3.0E-4</v>
      </c>
      <c r="H16" s="1254" t="s">
        <v>73</v>
      </c>
      <c r="I16" s="1237" t="str">
        <f>'🔵クレーム'!V21</f>
        <v/>
      </c>
      <c r="J16" s="1237">
        <f>'🔵クレーム'!T21</f>
        <v>0</v>
      </c>
      <c r="K16" s="1238" t="str">
        <f>'🔵クレーム'!X21</f>
        <v/>
      </c>
      <c r="L16" s="1239">
        <f>Z28</f>
        <v>0</v>
      </c>
      <c r="M16" s="1240" t="str">
        <f t="shared" si="2"/>
        <v/>
      </c>
      <c r="N16" s="1255" t="str">
        <f>IFERROR(__xludf.DUMMYFUNCTION("""COMPUTED_VALUE"""),"内容")</f>
        <v>内容</v>
      </c>
      <c r="O16" s="1256" t="str">
        <f>IFERROR(__xludf.DUMMYFUNCTION("""COMPUTED_VALUE"""),"件数")</f>
        <v>件数</v>
      </c>
      <c r="P16" s="1255" t="str">
        <f>IFERROR(__xludf.DUMMYFUNCTION("""COMPUTED_VALUE"""),"件数")</f>
        <v>件数</v>
      </c>
      <c r="Q16" s="1256" t="str">
        <f>IFERROR(__xludf.DUMMYFUNCTION("""COMPUTED_VALUE"""),"件数")</f>
        <v>件数</v>
      </c>
      <c r="R16" s="1255" t="str">
        <f>IFERROR(__xludf.DUMMYFUNCTION("""COMPUTED_VALUE"""),"件数")</f>
        <v>件数</v>
      </c>
      <c r="S16" s="1256" t="str">
        <f>IFERROR(__xludf.DUMMYFUNCTION("""COMPUTED_VALUE"""),"件数")</f>
        <v>件数</v>
      </c>
      <c r="T16" s="1255" t="str">
        <f>IFERROR(__xludf.DUMMYFUNCTION("""COMPUTED_VALUE"""),"件数")</f>
        <v>件数</v>
      </c>
      <c r="U16" s="1256" t="str">
        <f>IFERROR(__xludf.DUMMYFUNCTION("""COMPUTED_VALUE"""),"件数")</f>
        <v>件数</v>
      </c>
      <c r="V16" s="1255" t="str">
        <f>IFERROR(__xludf.DUMMYFUNCTION("""COMPUTED_VALUE"""),"件数")</f>
        <v>件数</v>
      </c>
      <c r="W16" s="1256" t="str">
        <f>IFERROR(__xludf.DUMMYFUNCTION("""COMPUTED_VALUE"""),"件数")</f>
        <v>件数</v>
      </c>
      <c r="X16" s="1255" t="str">
        <f>IFERROR(__xludf.DUMMYFUNCTION("""COMPUTED_VALUE"""),"件数")</f>
        <v>件数</v>
      </c>
      <c r="Y16" s="1256" t="str">
        <f>IFERROR(__xludf.DUMMYFUNCTION("""COMPUTED_VALUE"""),"件数")</f>
        <v>件数</v>
      </c>
      <c r="Z16" s="1255" t="str">
        <f>IFERROR(__xludf.DUMMYFUNCTION("""COMPUTED_VALUE"""),"件数")</f>
        <v>件数</v>
      </c>
      <c r="AA16" s="1256" t="str">
        <f>IFERROR(__xludf.DUMMYFUNCTION("""COMPUTED_VALUE"""),"内容")</f>
        <v>内容</v>
      </c>
      <c r="AB16" s="1255" t="str">
        <f>IFERROR(__xludf.DUMMYFUNCTION("""COMPUTED_VALUE"""),"件数")</f>
        <v>件数</v>
      </c>
      <c r="AC16" s="1256"/>
      <c r="AD16" s="1255"/>
      <c r="AE16" s="1256"/>
      <c r="AF16" s="1255"/>
      <c r="AG16" s="1256"/>
      <c r="AH16" s="1257"/>
      <c r="AI16" s="1256"/>
      <c r="AJ16" s="1255"/>
      <c r="AK16" s="1256"/>
      <c r="AL16" s="1255"/>
      <c r="AM16" s="1256"/>
      <c r="AN16" s="1221"/>
      <c r="AO16" s="1221"/>
      <c r="AP16" s="1221"/>
      <c r="AQ16" s="1221"/>
      <c r="AR16" s="1221"/>
      <c r="AS16" s="1221"/>
      <c r="AT16" s="1221"/>
      <c r="AU16" s="1221"/>
    </row>
    <row r="17">
      <c r="B17" s="1258" t="s">
        <v>928</v>
      </c>
      <c r="C17" s="1259">
        <f t="shared" ref="C17:D17" si="3">SUM(C4:C16)</f>
        <v>78777</v>
      </c>
      <c r="D17" s="1259">
        <f t="shared" si="3"/>
        <v>88</v>
      </c>
      <c r="E17" s="1260">
        <f>D17/C17</f>
        <v>0.00111707732</v>
      </c>
      <c r="F17" s="1259">
        <f>SUM(F5:F16)</f>
        <v>19</v>
      </c>
      <c r="G17" s="1261">
        <f>F17/C17</f>
        <v>0.0002411871485</v>
      </c>
      <c r="H17" s="1262" t="s">
        <v>928</v>
      </c>
      <c r="I17" s="1263">
        <f t="shared" ref="I17:J17" si="4">SUM(I5:I16)</f>
        <v>22919</v>
      </c>
      <c r="J17" s="1263">
        <f t="shared" si="4"/>
        <v>17</v>
      </c>
      <c r="K17" s="1264">
        <f>J17/I17</f>
        <v>0.0007417426589</v>
      </c>
      <c r="L17" s="1263">
        <f>SUM(L5:L16)</f>
        <v>4</v>
      </c>
      <c r="M17" s="1265">
        <f>L17/I17</f>
        <v>0.0001745276845</v>
      </c>
      <c r="N17" s="1266" t="str">
        <f>IFERROR(__xludf.DUMMYFUNCTION("""COMPUTED_VALUE"""),"セット漏れ")</f>
        <v>セット漏れ</v>
      </c>
      <c r="O17" s="1267">
        <f>IFERROR(__xludf.DUMMYFUNCTION("""COMPUTED_VALUE"""),0.0)</f>
        <v>0</v>
      </c>
      <c r="P17" s="1268">
        <f>IFERROR(__xludf.DUMMYFUNCTION("""COMPUTED_VALUE"""),0.0)</f>
        <v>0</v>
      </c>
      <c r="Q17" s="1267">
        <f>IFERROR(__xludf.DUMMYFUNCTION("""COMPUTED_VALUE"""),0.0)</f>
        <v>0</v>
      </c>
      <c r="R17" s="1268">
        <f>IFERROR(__xludf.DUMMYFUNCTION("""COMPUTED_VALUE"""),0.0)</f>
        <v>0</v>
      </c>
      <c r="S17" s="1267">
        <f>IFERROR(__xludf.DUMMYFUNCTION("""COMPUTED_VALUE"""),0.0)</f>
        <v>0</v>
      </c>
      <c r="T17" s="1268">
        <f>IFERROR(__xludf.DUMMYFUNCTION("""COMPUTED_VALUE"""),0.0)</f>
        <v>0</v>
      </c>
      <c r="U17" s="1267">
        <f>IFERROR(__xludf.DUMMYFUNCTION("""COMPUTED_VALUE"""),0.0)</f>
        <v>0</v>
      </c>
      <c r="V17" s="1268">
        <f>IFERROR(__xludf.DUMMYFUNCTION("""COMPUTED_VALUE"""),0.0)</f>
        <v>0</v>
      </c>
      <c r="W17" s="1267">
        <f>IFERROR(__xludf.DUMMYFUNCTION("""COMPUTED_VALUE"""),0.0)</f>
        <v>0</v>
      </c>
      <c r="X17" s="1268">
        <f>IFERROR(__xludf.DUMMYFUNCTION("""COMPUTED_VALUE"""),0.0)</f>
        <v>0</v>
      </c>
      <c r="Y17" s="1267">
        <f>IFERROR(__xludf.DUMMYFUNCTION("""COMPUTED_VALUE"""),0.0)</f>
        <v>0</v>
      </c>
      <c r="Z17" s="1266">
        <f>IFERROR(__xludf.DUMMYFUNCTION("""COMPUTED_VALUE"""),0.0)</f>
        <v>0</v>
      </c>
      <c r="AA17" s="1267" t="str">
        <f>IFERROR(__xludf.DUMMYFUNCTION("""COMPUTED_VALUE"""),"セット漏れ")</f>
        <v>セット漏れ</v>
      </c>
      <c r="AB17" s="1268">
        <f>IFERROR(__xludf.DUMMYFUNCTION("""COMPUTED_VALUE"""),0.0)</f>
        <v>0</v>
      </c>
      <c r="AC17" s="1267"/>
      <c r="AD17" s="1268"/>
      <c r="AE17" s="1267"/>
      <c r="AF17" s="1268"/>
      <c r="AG17" s="1267"/>
      <c r="AH17" s="1269"/>
      <c r="AI17" s="1267"/>
      <c r="AJ17" s="1268"/>
      <c r="AK17" s="1267"/>
      <c r="AL17" s="1268"/>
      <c r="AM17" s="1270"/>
      <c r="AN17" s="1221"/>
      <c r="AO17" s="1221"/>
      <c r="AP17" s="1221"/>
      <c r="AQ17" s="1221"/>
      <c r="AR17" s="1221"/>
      <c r="AS17" s="1221"/>
      <c r="AT17" s="1221"/>
      <c r="AU17" s="1221"/>
    </row>
    <row r="18">
      <c r="H18" s="1271"/>
      <c r="I18" s="1271"/>
      <c r="J18" s="1271"/>
      <c r="K18" s="1271"/>
      <c r="L18" s="1271"/>
      <c r="M18" s="1272"/>
      <c r="N18" s="1266" t="str">
        <f>IFERROR(__xludf.DUMMYFUNCTION("""COMPUTED_VALUE"""),"残置")</f>
        <v>残置</v>
      </c>
      <c r="O18" s="1267">
        <f>IFERROR(__xludf.DUMMYFUNCTION("""COMPUTED_VALUE"""),0.0)</f>
        <v>0</v>
      </c>
      <c r="P18" s="1268">
        <f>IFERROR(__xludf.DUMMYFUNCTION("""COMPUTED_VALUE"""),0.0)</f>
        <v>0</v>
      </c>
      <c r="Q18" s="1267">
        <f>IFERROR(__xludf.DUMMYFUNCTION("""COMPUTED_VALUE"""),0.0)</f>
        <v>0</v>
      </c>
      <c r="R18" s="1268">
        <f>IFERROR(__xludf.DUMMYFUNCTION("""COMPUTED_VALUE"""),0.0)</f>
        <v>0</v>
      </c>
      <c r="S18" s="1267">
        <f>IFERROR(__xludf.DUMMYFUNCTION("""COMPUTED_VALUE"""),0.0)</f>
        <v>0</v>
      </c>
      <c r="T18" s="1268">
        <f>IFERROR(__xludf.DUMMYFUNCTION("""COMPUTED_VALUE"""),0.0)</f>
        <v>0</v>
      </c>
      <c r="U18" s="1267">
        <f>IFERROR(__xludf.DUMMYFUNCTION("""COMPUTED_VALUE"""),0.0)</f>
        <v>0</v>
      </c>
      <c r="V18" s="1268">
        <f>IFERROR(__xludf.DUMMYFUNCTION("""COMPUTED_VALUE"""),0.0)</f>
        <v>0</v>
      </c>
      <c r="W18" s="1267">
        <f>IFERROR(__xludf.DUMMYFUNCTION("""COMPUTED_VALUE"""),0.0)</f>
        <v>0</v>
      </c>
      <c r="X18" s="1268">
        <f>IFERROR(__xludf.DUMMYFUNCTION("""COMPUTED_VALUE"""),0.0)</f>
        <v>0</v>
      </c>
      <c r="Y18" s="1267">
        <f>IFERROR(__xludf.DUMMYFUNCTION("""COMPUTED_VALUE"""),0.0)</f>
        <v>0</v>
      </c>
      <c r="Z18" s="1266">
        <f>IFERROR(__xludf.DUMMYFUNCTION("""COMPUTED_VALUE"""),0.0)</f>
        <v>0</v>
      </c>
      <c r="AA18" s="1270" t="str">
        <f>IFERROR(__xludf.DUMMYFUNCTION("""COMPUTED_VALUE"""),"残置")</f>
        <v>残置</v>
      </c>
      <c r="AB18" s="1268">
        <f>IFERROR(__xludf.DUMMYFUNCTION("""COMPUTED_VALUE"""),0.0)</f>
        <v>0</v>
      </c>
      <c r="AC18" s="1270"/>
      <c r="AD18" s="1268"/>
      <c r="AE18" s="1270"/>
      <c r="AF18" s="1268"/>
      <c r="AG18" s="1270"/>
      <c r="AH18" s="1269"/>
      <c r="AI18" s="1270"/>
      <c r="AJ18" s="1268"/>
      <c r="AK18" s="1270"/>
      <c r="AL18" s="1268"/>
      <c r="AM18" s="1270"/>
      <c r="AN18" s="1221"/>
      <c r="AO18" s="1221"/>
      <c r="AP18" s="1221"/>
      <c r="AQ18" s="1221"/>
      <c r="AR18" s="1221"/>
      <c r="AS18" s="1221"/>
      <c r="AT18" s="1221"/>
      <c r="AU18" s="1221"/>
    </row>
    <row r="19">
      <c r="H19" s="1271"/>
      <c r="I19" s="1271"/>
      <c r="J19" s="1271"/>
      <c r="K19" s="1271"/>
      <c r="L19" s="1271"/>
      <c r="M19" s="1272"/>
      <c r="N19" s="1266" t="str">
        <f>IFERROR(__xludf.DUMMYFUNCTION("""COMPUTED_VALUE"""),"髪の毛")</f>
        <v>髪の毛</v>
      </c>
      <c r="O19" s="1267">
        <f>IFERROR(__xludf.DUMMYFUNCTION("""COMPUTED_VALUE"""),2.0)</f>
        <v>2</v>
      </c>
      <c r="P19" s="1268">
        <f>IFERROR(__xludf.DUMMYFUNCTION("""COMPUTED_VALUE"""),0.0)</f>
        <v>0</v>
      </c>
      <c r="Q19" s="1267">
        <f>IFERROR(__xludf.DUMMYFUNCTION("""COMPUTED_VALUE"""),0.0)</f>
        <v>0</v>
      </c>
      <c r="R19" s="1268">
        <f>IFERROR(__xludf.DUMMYFUNCTION("""COMPUTED_VALUE"""),0.0)</f>
        <v>0</v>
      </c>
      <c r="S19" s="1267">
        <f>IFERROR(__xludf.DUMMYFUNCTION("""COMPUTED_VALUE"""),0.0)</f>
        <v>0</v>
      </c>
      <c r="T19" s="1268">
        <f>IFERROR(__xludf.DUMMYFUNCTION("""COMPUTED_VALUE"""),0.0)</f>
        <v>0</v>
      </c>
      <c r="U19" s="1267">
        <f>IFERROR(__xludf.DUMMYFUNCTION("""COMPUTED_VALUE"""),0.0)</f>
        <v>0</v>
      </c>
      <c r="V19" s="1268">
        <f>IFERROR(__xludf.DUMMYFUNCTION("""COMPUTED_VALUE"""),0.0)</f>
        <v>0</v>
      </c>
      <c r="W19" s="1267">
        <f>IFERROR(__xludf.DUMMYFUNCTION("""COMPUTED_VALUE"""),0.0)</f>
        <v>0</v>
      </c>
      <c r="X19" s="1268">
        <f>IFERROR(__xludf.DUMMYFUNCTION("""COMPUTED_VALUE"""),0.0)</f>
        <v>0</v>
      </c>
      <c r="Y19" s="1267">
        <f>IFERROR(__xludf.DUMMYFUNCTION("""COMPUTED_VALUE"""),0.0)</f>
        <v>0</v>
      </c>
      <c r="Z19" s="1266">
        <f>IFERROR(__xludf.DUMMYFUNCTION("""COMPUTED_VALUE"""),0.0)</f>
        <v>0</v>
      </c>
      <c r="AA19" s="1270" t="str">
        <f>IFERROR(__xludf.DUMMYFUNCTION("""COMPUTED_VALUE"""),"髪の毛")</f>
        <v>髪の毛</v>
      </c>
      <c r="AB19" s="1268">
        <f>IFERROR(__xludf.DUMMYFUNCTION("""COMPUTED_VALUE"""),2.0)</f>
        <v>2</v>
      </c>
      <c r="AC19" s="1270"/>
      <c r="AD19" s="1268"/>
      <c r="AE19" s="1270"/>
      <c r="AF19" s="1268"/>
      <c r="AG19" s="1270"/>
      <c r="AH19" s="1269"/>
      <c r="AI19" s="1270"/>
      <c r="AJ19" s="1268"/>
      <c r="AK19" s="1270"/>
      <c r="AL19" s="1268"/>
      <c r="AM19" s="1270"/>
      <c r="AN19" s="1221"/>
      <c r="AO19" s="1221"/>
      <c r="AP19" s="1221"/>
      <c r="AQ19" s="1221"/>
      <c r="AR19" s="1221"/>
      <c r="AS19" s="1221"/>
      <c r="AT19" s="1221"/>
      <c r="AU19" s="1221"/>
    </row>
    <row r="20">
      <c r="H20" s="1271"/>
      <c r="I20" s="1271"/>
      <c r="J20" s="1271"/>
      <c r="K20" s="1271"/>
      <c r="L20" s="1271"/>
      <c r="M20" s="1272"/>
      <c r="N20" s="1266" t="str">
        <f>IFERROR(__xludf.DUMMYFUNCTION("""COMPUTED_VALUE"""),"汚れ")</f>
        <v>汚れ</v>
      </c>
      <c r="O20" s="1267">
        <f>IFERROR(__xludf.DUMMYFUNCTION("""COMPUTED_VALUE"""),0.0)</f>
        <v>0</v>
      </c>
      <c r="P20" s="1268">
        <f>IFERROR(__xludf.DUMMYFUNCTION("""COMPUTED_VALUE"""),0.0)</f>
        <v>0</v>
      </c>
      <c r="Q20" s="1267">
        <f>IFERROR(__xludf.DUMMYFUNCTION("""COMPUTED_VALUE"""),0.0)</f>
        <v>0</v>
      </c>
      <c r="R20" s="1268">
        <f>IFERROR(__xludf.DUMMYFUNCTION("""COMPUTED_VALUE"""),0.0)</f>
        <v>0</v>
      </c>
      <c r="S20" s="1267">
        <f>IFERROR(__xludf.DUMMYFUNCTION("""COMPUTED_VALUE"""),0.0)</f>
        <v>0</v>
      </c>
      <c r="T20" s="1268">
        <f>IFERROR(__xludf.DUMMYFUNCTION("""COMPUTED_VALUE"""),0.0)</f>
        <v>0</v>
      </c>
      <c r="U20" s="1267">
        <f>IFERROR(__xludf.DUMMYFUNCTION("""COMPUTED_VALUE"""),0.0)</f>
        <v>0</v>
      </c>
      <c r="V20" s="1268">
        <f>IFERROR(__xludf.DUMMYFUNCTION("""COMPUTED_VALUE"""),0.0)</f>
        <v>0</v>
      </c>
      <c r="W20" s="1267">
        <f>IFERROR(__xludf.DUMMYFUNCTION("""COMPUTED_VALUE"""),0.0)</f>
        <v>0</v>
      </c>
      <c r="X20" s="1268">
        <f>IFERROR(__xludf.DUMMYFUNCTION("""COMPUTED_VALUE"""),0.0)</f>
        <v>0</v>
      </c>
      <c r="Y20" s="1267">
        <f>IFERROR(__xludf.DUMMYFUNCTION("""COMPUTED_VALUE"""),0.0)</f>
        <v>0</v>
      </c>
      <c r="Z20" s="1266">
        <f>IFERROR(__xludf.DUMMYFUNCTION("""COMPUTED_VALUE"""),0.0)</f>
        <v>0</v>
      </c>
      <c r="AA20" s="1270" t="str">
        <f>IFERROR(__xludf.DUMMYFUNCTION("""COMPUTED_VALUE"""),"汚れ")</f>
        <v>汚れ</v>
      </c>
      <c r="AB20" s="1268">
        <f>IFERROR(__xludf.DUMMYFUNCTION("""COMPUTED_VALUE"""),0.0)</f>
        <v>0</v>
      </c>
      <c r="AC20" s="1270"/>
      <c r="AD20" s="1268"/>
      <c r="AE20" s="1270"/>
      <c r="AF20" s="1268"/>
      <c r="AG20" s="1270"/>
      <c r="AH20" s="1269"/>
      <c r="AI20" s="1270"/>
      <c r="AJ20" s="1268"/>
      <c r="AK20" s="1270"/>
      <c r="AL20" s="1268"/>
      <c r="AM20" s="1270"/>
      <c r="AN20" s="1221"/>
      <c r="AO20" s="1221"/>
      <c r="AP20" s="1221"/>
      <c r="AQ20" s="1221"/>
      <c r="AR20" s="1221"/>
      <c r="AS20" s="1221"/>
      <c r="AT20" s="1221"/>
      <c r="AU20" s="1221"/>
    </row>
    <row r="21">
      <c r="H21" s="1271"/>
      <c r="I21" s="1271"/>
      <c r="J21" s="1271"/>
      <c r="K21" s="1271"/>
      <c r="L21" s="1271"/>
      <c r="M21" s="1272"/>
      <c r="N21" s="1266" t="str">
        <f>IFERROR(__xludf.DUMMYFUNCTION("""COMPUTED_VALUE"""),"清掃不備")</f>
        <v>清掃不備</v>
      </c>
      <c r="O21" s="1267">
        <f>IFERROR(__xludf.DUMMYFUNCTION("""COMPUTED_VALUE"""),0.0)</f>
        <v>0</v>
      </c>
      <c r="P21" s="1268">
        <f>IFERROR(__xludf.DUMMYFUNCTION("""COMPUTED_VALUE"""),0.0)</f>
        <v>0</v>
      </c>
      <c r="Q21" s="1267">
        <f>IFERROR(__xludf.DUMMYFUNCTION("""COMPUTED_VALUE"""),0.0)</f>
        <v>0</v>
      </c>
      <c r="R21" s="1268">
        <f>IFERROR(__xludf.DUMMYFUNCTION("""COMPUTED_VALUE"""),0.0)</f>
        <v>0</v>
      </c>
      <c r="S21" s="1267">
        <f>IFERROR(__xludf.DUMMYFUNCTION("""COMPUTED_VALUE"""),0.0)</f>
        <v>0</v>
      </c>
      <c r="T21" s="1268">
        <f>IFERROR(__xludf.DUMMYFUNCTION("""COMPUTED_VALUE"""),0.0)</f>
        <v>0</v>
      </c>
      <c r="U21" s="1267">
        <f>IFERROR(__xludf.DUMMYFUNCTION("""COMPUTED_VALUE"""),0.0)</f>
        <v>0</v>
      </c>
      <c r="V21" s="1268">
        <f>IFERROR(__xludf.DUMMYFUNCTION("""COMPUTED_VALUE"""),0.0)</f>
        <v>0</v>
      </c>
      <c r="W21" s="1267">
        <f>IFERROR(__xludf.DUMMYFUNCTION("""COMPUTED_VALUE"""),0.0)</f>
        <v>0</v>
      </c>
      <c r="X21" s="1268">
        <f>IFERROR(__xludf.DUMMYFUNCTION("""COMPUTED_VALUE"""),0.0)</f>
        <v>0</v>
      </c>
      <c r="Y21" s="1267">
        <f>IFERROR(__xludf.DUMMYFUNCTION("""COMPUTED_VALUE"""),0.0)</f>
        <v>0</v>
      </c>
      <c r="Z21" s="1266">
        <f>IFERROR(__xludf.DUMMYFUNCTION("""COMPUTED_VALUE"""),0.0)</f>
        <v>0</v>
      </c>
      <c r="AA21" s="1270" t="str">
        <f>IFERROR(__xludf.DUMMYFUNCTION("""COMPUTED_VALUE"""),"清掃不備")</f>
        <v>清掃不備</v>
      </c>
      <c r="AB21" s="1268">
        <f>IFERROR(__xludf.DUMMYFUNCTION("""COMPUTED_VALUE"""),0.0)</f>
        <v>0</v>
      </c>
      <c r="AC21" s="1270"/>
      <c r="AD21" s="1268"/>
      <c r="AE21" s="1270"/>
      <c r="AF21" s="1268"/>
      <c r="AG21" s="1270"/>
      <c r="AH21" s="1269"/>
      <c r="AI21" s="1270"/>
      <c r="AJ21" s="1268"/>
      <c r="AK21" s="1270"/>
      <c r="AL21" s="1268"/>
      <c r="AM21" s="1270"/>
      <c r="AN21" s="1221"/>
      <c r="AO21" s="1221"/>
      <c r="AP21" s="1221"/>
      <c r="AQ21" s="1221"/>
      <c r="AR21" s="1221"/>
      <c r="AS21" s="1221"/>
      <c r="AT21" s="1221"/>
      <c r="AU21" s="1221"/>
    </row>
    <row r="22">
      <c r="H22" s="1271"/>
      <c r="I22" s="1271"/>
      <c r="J22" s="1271"/>
      <c r="K22" s="1271"/>
      <c r="L22" s="1271"/>
      <c r="M22" s="1272"/>
      <c r="N22" s="1266" t="str">
        <f>IFERROR(__xludf.DUMMYFUNCTION("""COMPUTED_VALUE"""),"手配ミス")</f>
        <v>手配ミス</v>
      </c>
      <c r="O22" s="1267">
        <f>IFERROR(__xludf.DUMMYFUNCTION("""COMPUTED_VALUE"""),0.0)</f>
        <v>0</v>
      </c>
      <c r="P22" s="1268">
        <f>IFERROR(__xludf.DUMMYFUNCTION("""COMPUTED_VALUE"""),0.0)</f>
        <v>0</v>
      </c>
      <c r="Q22" s="1267">
        <f>IFERROR(__xludf.DUMMYFUNCTION("""COMPUTED_VALUE"""),0.0)</f>
        <v>0</v>
      </c>
      <c r="R22" s="1268">
        <f>IFERROR(__xludf.DUMMYFUNCTION("""COMPUTED_VALUE"""),0.0)</f>
        <v>0</v>
      </c>
      <c r="S22" s="1267">
        <f>IFERROR(__xludf.DUMMYFUNCTION("""COMPUTED_VALUE"""),0.0)</f>
        <v>0</v>
      </c>
      <c r="T22" s="1268">
        <f>IFERROR(__xludf.DUMMYFUNCTION("""COMPUTED_VALUE"""),0.0)</f>
        <v>0</v>
      </c>
      <c r="U22" s="1267">
        <f>IFERROR(__xludf.DUMMYFUNCTION("""COMPUTED_VALUE"""),0.0)</f>
        <v>0</v>
      </c>
      <c r="V22" s="1268">
        <f>IFERROR(__xludf.DUMMYFUNCTION("""COMPUTED_VALUE"""),0.0)</f>
        <v>0</v>
      </c>
      <c r="W22" s="1267">
        <f>IFERROR(__xludf.DUMMYFUNCTION("""COMPUTED_VALUE"""),0.0)</f>
        <v>0</v>
      </c>
      <c r="X22" s="1268">
        <f>IFERROR(__xludf.DUMMYFUNCTION("""COMPUTED_VALUE"""),0.0)</f>
        <v>0</v>
      </c>
      <c r="Y22" s="1267">
        <f>IFERROR(__xludf.DUMMYFUNCTION("""COMPUTED_VALUE"""),0.0)</f>
        <v>0</v>
      </c>
      <c r="Z22" s="1266">
        <f>IFERROR(__xludf.DUMMYFUNCTION("""COMPUTED_VALUE"""),0.0)</f>
        <v>0</v>
      </c>
      <c r="AA22" s="1270" t="str">
        <f>IFERROR(__xludf.DUMMYFUNCTION("""COMPUTED_VALUE"""),"手配ミス")</f>
        <v>手配ミス</v>
      </c>
      <c r="AB22" s="1268">
        <f>IFERROR(__xludf.DUMMYFUNCTION("""COMPUTED_VALUE"""),0.0)</f>
        <v>0</v>
      </c>
      <c r="AC22" s="1270"/>
      <c r="AD22" s="1268"/>
      <c r="AE22" s="1270"/>
      <c r="AF22" s="1268"/>
      <c r="AG22" s="1270"/>
      <c r="AH22" s="1269"/>
      <c r="AI22" s="1270"/>
      <c r="AJ22" s="1268"/>
      <c r="AK22" s="1270"/>
      <c r="AL22" s="1268"/>
      <c r="AM22" s="1270"/>
      <c r="AN22" s="1221"/>
      <c r="AO22" s="1221"/>
      <c r="AP22" s="1221"/>
      <c r="AQ22" s="1221"/>
      <c r="AR22" s="1221"/>
      <c r="AS22" s="1221"/>
      <c r="AT22" s="1221"/>
      <c r="AU22" s="1221"/>
    </row>
    <row r="23">
      <c r="H23" s="1271"/>
      <c r="I23" s="1271"/>
      <c r="J23" s="1271"/>
      <c r="K23" s="1271"/>
      <c r="L23" s="1271"/>
      <c r="M23" s="1272"/>
      <c r="N23" s="1266" t="str">
        <f>IFERROR(__xludf.DUMMYFUNCTION("""COMPUTED_VALUE"""),"臭い")</f>
        <v>臭い</v>
      </c>
      <c r="O23" s="1267">
        <f>IFERROR(__xludf.DUMMYFUNCTION("""COMPUTED_VALUE"""),1.0)</f>
        <v>1</v>
      </c>
      <c r="P23" s="1268">
        <f>IFERROR(__xludf.DUMMYFUNCTION("""COMPUTED_VALUE"""),0.0)</f>
        <v>0</v>
      </c>
      <c r="Q23" s="1267">
        <f>IFERROR(__xludf.DUMMYFUNCTION("""COMPUTED_VALUE"""),0.0)</f>
        <v>0</v>
      </c>
      <c r="R23" s="1268">
        <f>IFERROR(__xludf.DUMMYFUNCTION("""COMPUTED_VALUE"""),0.0)</f>
        <v>0</v>
      </c>
      <c r="S23" s="1267">
        <f>IFERROR(__xludf.DUMMYFUNCTION("""COMPUTED_VALUE"""),0.0)</f>
        <v>0</v>
      </c>
      <c r="T23" s="1268">
        <f>IFERROR(__xludf.DUMMYFUNCTION("""COMPUTED_VALUE"""),0.0)</f>
        <v>0</v>
      </c>
      <c r="U23" s="1267">
        <f>IFERROR(__xludf.DUMMYFUNCTION("""COMPUTED_VALUE"""),0.0)</f>
        <v>0</v>
      </c>
      <c r="V23" s="1268">
        <f>IFERROR(__xludf.DUMMYFUNCTION("""COMPUTED_VALUE"""),0.0)</f>
        <v>0</v>
      </c>
      <c r="W23" s="1267">
        <f>IFERROR(__xludf.DUMMYFUNCTION("""COMPUTED_VALUE"""),0.0)</f>
        <v>0</v>
      </c>
      <c r="X23" s="1268">
        <f>IFERROR(__xludf.DUMMYFUNCTION("""COMPUTED_VALUE"""),0.0)</f>
        <v>0</v>
      </c>
      <c r="Y23" s="1267">
        <f>IFERROR(__xludf.DUMMYFUNCTION("""COMPUTED_VALUE"""),0.0)</f>
        <v>0</v>
      </c>
      <c r="Z23" s="1266">
        <f>IFERROR(__xludf.DUMMYFUNCTION("""COMPUTED_VALUE"""),0.0)</f>
        <v>0</v>
      </c>
      <c r="AA23" s="1270" t="str">
        <f>IFERROR(__xludf.DUMMYFUNCTION("""COMPUTED_VALUE"""),"臭い")</f>
        <v>臭い</v>
      </c>
      <c r="AB23" s="1268">
        <f>IFERROR(__xludf.DUMMYFUNCTION("""COMPUTED_VALUE"""),1.0)</f>
        <v>1</v>
      </c>
      <c r="AC23" s="1270"/>
      <c r="AD23" s="1268"/>
      <c r="AE23" s="1270"/>
      <c r="AF23" s="1268"/>
      <c r="AG23" s="1270"/>
      <c r="AH23" s="1269"/>
      <c r="AI23" s="1270"/>
      <c r="AJ23" s="1268"/>
      <c r="AK23" s="1270"/>
      <c r="AL23" s="1268"/>
      <c r="AM23" s="1270"/>
      <c r="AN23" s="1221"/>
      <c r="AO23" s="1221"/>
      <c r="AP23" s="1221"/>
      <c r="AQ23" s="1221"/>
      <c r="AR23" s="1221"/>
      <c r="AS23" s="1221"/>
      <c r="AT23" s="1221"/>
      <c r="AU23" s="1221"/>
    </row>
    <row r="24">
      <c r="H24" s="1271"/>
      <c r="I24" s="1271"/>
      <c r="J24" s="1271"/>
      <c r="K24" s="1271"/>
      <c r="L24" s="1271"/>
      <c r="M24" s="1272"/>
      <c r="N24" s="1266" t="str">
        <f>IFERROR(__xludf.DUMMYFUNCTION("""COMPUTED_VALUE"""),"ホコリ")</f>
        <v>ホコリ</v>
      </c>
      <c r="O24" s="1267">
        <f>IFERROR(__xludf.DUMMYFUNCTION("""COMPUTED_VALUE"""),0.0)</f>
        <v>0</v>
      </c>
      <c r="P24" s="1268">
        <f>IFERROR(__xludf.DUMMYFUNCTION("""COMPUTED_VALUE"""),0.0)</f>
        <v>0</v>
      </c>
      <c r="Q24" s="1267">
        <f>IFERROR(__xludf.DUMMYFUNCTION("""COMPUTED_VALUE"""),0.0)</f>
        <v>0</v>
      </c>
      <c r="R24" s="1268">
        <f>IFERROR(__xludf.DUMMYFUNCTION("""COMPUTED_VALUE"""),0.0)</f>
        <v>0</v>
      </c>
      <c r="S24" s="1267">
        <f>IFERROR(__xludf.DUMMYFUNCTION("""COMPUTED_VALUE"""),0.0)</f>
        <v>0</v>
      </c>
      <c r="T24" s="1268">
        <f>IFERROR(__xludf.DUMMYFUNCTION("""COMPUTED_VALUE"""),0.0)</f>
        <v>0</v>
      </c>
      <c r="U24" s="1267">
        <f>IFERROR(__xludf.DUMMYFUNCTION("""COMPUTED_VALUE"""),0.0)</f>
        <v>0</v>
      </c>
      <c r="V24" s="1268">
        <f>IFERROR(__xludf.DUMMYFUNCTION("""COMPUTED_VALUE"""),0.0)</f>
        <v>0</v>
      </c>
      <c r="W24" s="1267">
        <f>IFERROR(__xludf.DUMMYFUNCTION("""COMPUTED_VALUE"""),0.0)</f>
        <v>0</v>
      </c>
      <c r="X24" s="1268">
        <f>IFERROR(__xludf.DUMMYFUNCTION("""COMPUTED_VALUE"""),0.0)</f>
        <v>0</v>
      </c>
      <c r="Y24" s="1267">
        <f>IFERROR(__xludf.DUMMYFUNCTION("""COMPUTED_VALUE"""),0.0)</f>
        <v>0</v>
      </c>
      <c r="Z24" s="1266">
        <f>IFERROR(__xludf.DUMMYFUNCTION("""COMPUTED_VALUE"""),0.0)</f>
        <v>0</v>
      </c>
      <c r="AA24" s="1270" t="str">
        <f>IFERROR(__xludf.DUMMYFUNCTION("""COMPUTED_VALUE"""),"ホコリ")</f>
        <v>ホコリ</v>
      </c>
      <c r="AB24" s="1268">
        <f>IFERROR(__xludf.DUMMYFUNCTION("""COMPUTED_VALUE"""),0.0)</f>
        <v>0</v>
      </c>
      <c r="AC24" s="1270"/>
      <c r="AD24" s="1268"/>
      <c r="AE24" s="1270"/>
      <c r="AF24" s="1268"/>
      <c r="AG24" s="1270"/>
      <c r="AH24" s="1269"/>
      <c r="AI24" s="1270"/>
      <c r="AJ24" s="1268"/>
      <c r="AK24" s="1270"/>
      <c r="AL24" s="1268"/>
      <c r="AM24" s="1270"/>
      <c r="AN24" s="1221"/>
      <c r="AO24" s="1221"/>
      <c r="AP24" s="1221"/>
      <c r="AQ24" s="1221"/>
      <c r="AR24" s="1221"/>
      <c r="AS24" s="1221"/>
      <c r="AT24" s="1221"/>
      <c r="AU24" s="1221"/>
    </row>
    <row r="25">
      <c r="H25" s="1271"/>
      <c r="I25" s="1271"/>
      <c r="J25" s="1271"/>
      <c r="K25" s="1271"/>
      <c r="L25" s="1271"/>
      <c r="M25" s="1272"/>
      <c r="N25" s="1266" t="str">
        <f>IFERROR(__xludf.DUMMYFUNCTION("""COMPUTED_VALUE"""),"カビ")</f>
        <v>カビ</v>
      </c>
      <c r="O25" s="1267">
        <f>IFERROR(__xludf.DUMMYFUNCTION("""COMPUTED_VALUE"""),0.0)</f>
        <v>0</v>
      </c>
      <c r="P25" s="1268">
        <f>IFERROR(__xludf.DUMMYFUNCTION("""COMPUTED_VALUE"""),0.0)</f>
        <v>0</v>
      </c>
      <c r="Q25" s="1267">
        <f>IFERROR(__xludf.DUMMYFUNCTION("""COMPUTED_VALUE"""),0.0)</f>
        <v>0</v>
      </c>
      <c r="R25" s="1268">
        <f>IFERROR(__xludf.DUMMYFUNCTION("""COMPUTED_VALUE"""),0.0)</f>
        <v>0</v>
      </c>
      <c r="S25" s="1267">
        <f>IFERROR(__xludf.DUMMYFUNCTION("""COMPUTED_VALUE"""),0.0)</f>
        <v>0</v>
      </c>
      <c r="T25" s="1268">
        <f>IFERROR(__xludf.DUMMYFUNCTION("""COMPUTED_VALUE"""),0.0)</f>
        <v>0</v>
      </c>
      <c r="U25" s="1267">
        <f>IFERROR(__xludf.DUMMYFUNCTION("""COMPUTED_VALUE"""),0.0)</f>
        <v>0</v>
      </c>
      <c r="V25" s="1268">
        <f>IFERROR(__xludf.DUMMYFUNCTION("""COMPUTED_VALUE"""),0.0)</f>
        <v>0</v>
      </c>
      <c r="W25" s="1267">
        <f>IFERROR(__xludf.DUMMYFUNCTION("""COMPUTED_VALUE"""),0.0)</f>
        <v>0</v>
      </c>
      <c r="X25" s="1268">
        <f>IFERROR(__xludf.DUMMYFUNCTION("""COMPUTED_VALUE"""),0.0)</f>
        <v>0</v>
      </c>
      <c r="Y25" s="1267">
        <f>IFERROR(__xludf.DUMMYFUNCTION("""COMPUTED_VALUE"""),0.0)</f>
        <v>0</v>
      </c>
      <c r="Z25" s="1266">
        <f>IFERROR(__xludf.DUMMYFUNCTION("""COMPUTED_VALUE"""),0.0)</f>
        <v>0</v>
      </c>
      <c r="AA25" s="1270" t="str">
        <f>IFERROR(__xludf.DUMMYFUNCTION("""COMPUTED_VALUE"""),"カビ")</f>
        <v>カビ</v>
      </c>
      <c r="AB25" s="1268">
        <f>IFERROR(__xludf.DUMMYFUNCTION("""COMPUTED_VALUE"""),0.0)</f>
        <v>0</v>
      </c>
      <c r="AC25" s="1270"/>
      <c r="AD25" s="1268"/>
      <c r="AE25" s="1270"/>
      <c r="AF25" s="1268"/>
      <c r="AG25" s="1270"/>
      <c r="AH25" s="1269"/>
      <c r="AI25" s="1270"/>
      <c r="AJ25" s="1268"/>
      <c r="AK25" s="1270"/>
      <c r="AL25" s="1268"/>
      <c r="AM25" s="1270"/>
      <c r="AN25" s="1221"/>
      <c r="AO25" s="1221"/>
      <c r="AP25" s="1221"/>
      <c r="AQ25" s="1221"/>
      <c r="AR25" s="1221"/>
      <c r="AS25" s="1221"/>
      <c r="AT25" s="1221"/>
      <c r="AU25" s="1221"/>
    </row>
    <row r="26">
      <c r="H26" s="1271"/>
      <c r="I26" s="1271"/>
      <c r="J26" s="1271"/>
      <c r="K26" s="1271"/>
      <c r="L26" s="1271"/>
      <c r="M26" s="1272"/>
      <c r="N26" s="1266" t="str">
        <f>IFERROR(__xludf.DUMMYFUNCTION("""COMPUTED_VALUE"""),"害虫")</f>
        <v>害虫</v>
      </c>
      <c r="O26" s="1267">
        <f>IFERROR(__xludf.DUMMYFUNCTION("""COMPUTED_VALUE"""),0.0)</f>
        <v>0</v>
      </c>
      <c r="P26" s="1268">
        <f>IFERROR(__xludf.DUMMYFUNCTION("""COMPUTED_VALUE"""),0.0)</f>
        <v>0</v>
      </c>
      <c r="Q26" s="1267">
        <f>IFERROR(__xludf.DUMMYFUNCTION("""COMPUTED_VALUE"""),0.0)</f>
        <v>0</v>
      </c>
      <c r="R26" s="1268">
        <f>IFERROR(__xludf.DUMMYFUNCTION("""COMPUTED_VALUE"""),0.0)</f>
        <v>0</v>
      </c>
      <c r="S26" s="1267">
        <f>IFERROR(__xludf.DUMMYFUNCTION("""COMPUTED_VALUE"""),0.0)</f>
        <v>0</v>
      </c>
      <c r="T26" s="1268">
        <f>IFERROR(__xludf.DUMMYFUNCTION("""COMPUTED_VALUE"""),0.0)</f>
        <v>0</v>
      </c>
      <c r="U26" s="1267">
        <f>IFERROR(__xludf.DUMMYFUNCTION("""COMPUTED_VALUE"""),0.0)</f>
        <v>0</v>
      </c>
      <c r="V26" s="1268">
        <f>IFERROR(__xludf.DUMMYFUNCTION("""COMPUTED_VALUE"""),0.0)</f>
        <v>0</v>
      </c>
      <c r="W26" s="1267">
        <f>IFERROR(__xludf.DUMMYFUNCTION("""COMPUTED_VALUE"""),0.0)</f>
        <v>0</v>
      </c>
      <c r="X26" s="1268">
        <f>IFERROR(__xludf.DUMMYFUNCTION("""COMPUTED_VALUE"""),0.0)</f>
        <v>0</v>
      </c>
      <c r="Y26" s="1267">
        <f>IFERROR(__xludf.DUMMYFUNCTION("""COMPUTED_VALUE"""),0.0)</f>
        <v>0</v>
      </c>
      <c r="Z26" s="1266">
        <f>IFERROR(__xludf.DUMMYFUNCTION("""COMPUTED_VALUE"""),0.0)</f>
        <v>0</v>
      </c>
      <c r="AA26" s="1270" t="str">
        <f>IFERROR(__xludf.DUMMYFUNCTION("""COMPUTED_VALUE"""),"害虫")</f>
        <v>害虫</v>
      </c>
      <c r="AB26" s="1268">
        <f>IFERROR(__xludf.DUMMYFUNCTION("""COMPUTED_VALUE"""),0.0)</f>
        <v>0</v>
      </c>
      <c r="AC26" s="1270"/>
      <c r="AD26" s="1268"/>
      <c r="AE26" s="1270"/>
      <c r="AF26" s="1268"/>
      <c r="AG26" s="1270"/>
      <c r="AH26" s="1269"/>
      <c r="AI26" s="1270"/>
      <c r="AJ26" s="1268"/>
      <c r="AK26" s="1270"/>
      <c r="AL26" s="1268"/>
      <c r="AM26" s="1270"/>
      <c r="AN26" s="1221"/>
      <c r="AO26" s="1221"/>
      <c r="AP26" s="1221"/>
      <c r="AQ26" s="1221"/>
      <c r="AR26" s="1221"/>
      <c r="AS26" s="1221"/>
      <c r="AT26" s="1221"/>
      <c r="AU26" s="1221"/>
    </row>
    <row r="27">
      <c r="H27" s="1271"/>
      <c r="I27" s="1271"/>
      <c r="J27" s="1271"/>
      <c r="K27" s="1271"/>
      <c r="L27" s="1271"/>
      <c r="M27" s="1272"/>
      <c r="N27" s="1273" t="str">
        <f>IFERROR(__xludf.DUMMYFUNCTION("""COMPUTED_VALUE"""),"その他")</f>
        <v>その他</v>
      </c>
      <c r="O27" s="1267">
        <f>IFERROR(__xludf.DUMMYFUNCTION("""COMPUTED_VALUE"""),0.0)</f>
        <v>0</v>
      </c>
      <c r="P27" s="1274">
        <f>IFERROR(__xludf.DUMMYFUNCTION("""COMPUTED_VALUE"""),1.0)</f>
        <v>1</v>
      </c>
      <c r="Q27" s="1267">
        <f>IFERROR(__xludf.DUMMYFUNCTION("""COMPUTED_VALUE"""),0.0)</f>
        <v>0</v>
      </c>
      <c r="R27" s="1274">
        <f>IFERROR(__xludf.DUMMYFUNCTION("""COMPUTED_VALUE"""),0.0)</f>
        <v>0</v>
      </c>
      <c r="S27" s="1267">
        <f>IFERROR(__xludf.DUMMYFUNCTION("""COMPUTED_VALUE"""),0.0)</f>
        <v>0</v>
      </c>
      <c r="T27" s="1274">
        <f>IFERROR(__xludf.DUMMYFUNCTION("""COMPUTED_VALUE"""),0.0)</f>
        <v>0</v>
      </c>
      <c r="U27" s="1267">
        <f>IFERROR(__xludf.DUMMYFUNCTION("""COMPUTED_VALUE"""),0.0)</f>
        <v>0</v>
      </c>
      <c r="V27" s="1274">
        <f>IFERROR(__xludf.DUMMYFUNCTION("""COMPUTED_VALUE"""),0.0)</f>
        <v>0</v>
      </c>
      <c r="W27" s="1267">
        <f>IFERROR(__xludf.DUMMYFUNCTION("""COMPUTED_VALUE"""),0.0)</f>
        <v>0</v>
      </c>
      <c r="X27" s="1274">
        <f>IFERROR(__xludf.DUMMYFUNCTION("""COMPUTED_VALUE"""),0.0)</f>
        <v>0</v>
      </c>
      <c r="Y27" s="1267">
        <f>IFERROR(__xludf.DUMMYFUNCTION("""COMPUTED_VALUE"""),0.0)</f>
        <v>0</v>
      </c>
      <c r="Z27" s="1273">
        <f>IFERROR(__xludf.DUMMYFUNCTION("""COMPUTED_VALUE"""),0.0)</f>
        <v>0</v>
      </c>
      <c r="AA27" s="1275" t="str">
        <f>IFERROR(__xludf.DUMMYFUNCTION("""COMPUTED_VALUE"""),"その他")</f>
        <v>その他</v>
      </c>
      <c r="AB27" s="1274">
        <f>IFERROR(__xludf.DUMMYFUNCTION("""COMPUTED_VALUE"""),1.0)</f>
        <v>1</v>
      </c>
      <c r="AC27" s="1275"/>
      <c r="AD27" s="1274"/>
      <c r="AE27" s="1275"/>
      <c r="AF27" s="1274"/>
      <c r="AG27" s="1275"/>
      <c r="AH27" s="1276"/>
      <c r="AI27" s="1275"/>
      <c r="AJ27" s="1274"/>
      <c r="AK27" s="1275"/>
      <c r="AL27" s="1274"/>
      <c r="AM27" s="1270"/>
      <c r="AN27" s="1221"/>
      <c r="AO27" s="1221"/>
      <c r="AP27" s="1221"/>
      <c r="AQ27" s="1221"/>
      <c r="AR27" s="1221"/>
      <c r="AS27" s="1221"/>
      <c r="AT27" s="1221"/>
      <c r="AU27" s="1221"/>
    </row>
    <row r="28">
      <c r="H28" s="1271"/>
      <c r="I28" s="1271"/>
      <c r="J28" s="1271"/>
      <c r="K28" s="1271"/>
      <c r="L28" s="1271"/>
      <c r="M28" s="1272"/>
      <c r="N28" s="1277" t="str">
        <f>IFERROR(__xludf.DUMMYFUNCTION("""COMPUTED_VALUE"""),"合計")</f>
        <v>合計</v>
      </c>
      <c r="O28" s="1278">
        <f>IFERROR(__xludf.DUMMYFUNCTION("""COMPUTED_VALUE"""),3.0)</f>
        <v>3</v>
      </c>
      <c r="P28" s="1277">
        <f>IFERROR(__xludf.DUMMYFUNCTION("""COMPUTED_VALUE"""),1.0)</f>
        <v>1</v>
      </c>
      <c r="Q28" s="1278">
        <f>IFERROR(__xludf.DUMMYFUNCTION("""COMPUTED_VALUE"""),0.0)</f>
        <v>0</v>
      </c>
      <c r="R28" s="1277">
        <f>IFERROR(__xludf.DUMMYFUNCTION("""COMPUTED_VALUE"""),0.0)</f>
        <v>0</v>
      </c>
      <c r="S28" s="1278">
        <f>IFERROR(__xludf.DUMMYFUNCTION("""COMPUTED_VALUE"""),0.0)</f>
        <v>0</v>
      </c>
      <c r="T28" s="1277">
        <f>IFERROR(__xludf.DUMMYFUNCTION("""COMPUTED_VALUE"""),0.0)</f>
        <v>0</v>
      </c>
      <c r="U28" s="1278">
        <f>IFERROR(__xludf.DUMMYFUNCTION("""COMPUTED_VALUE"""),0.0)</f>
        <v>0</v>
      </c>
      <c r="V28" s="1277">
        <f>IFERROR(__xludf.DUMMYFUNCTION("""COMPUTED_VALUE"""),0.0)</f>
        <v>0</v>
      </c>
      <c r="W28" s="1278">
        <f>IFERROR(__xludf.DUMMYFUNCTION("""COMPUTED_VALUE"""),0.0)</f>
        <v>0</v>
      </c>
      <c r="X28" s="1277">
        <f>IFERROR(__xludf.DUMMYFUNCTION("""COMPUTED_VALUE"""),0.0)</f>
        <v>0</v>
      </c>
      <c r="Y28" s="1278">
        <f>IFERROR(__xludf.DUMMYFUNCTION("""COMPUTED_VALUE"""),0.0)</f>
        <v>0</v>
      </c>
      <c r="Z28" s="1277">
        <f>IFERROR(__xludf.DUMMYFUNCTION("""COMPUTED_VALUE"""),0.0)</f>
        <v>0</v>
      </c>
      <c r="AA28" s="1278" t="str">
        <f>IFERROR(__xludf.DUMMYFUNCTION("""COMPUTED_VALUE"""),"総合計")</f>
        <v>総合計</v>
      </c>
      <c r="AB28" s="1277">
        <f>IFERROR(__xludf.DUMMYFUNCTION("""COMPUTED_VALUE"""),4.0)</f>
        <v>4</v>
      </c>
      <c r="AC28" s="1278"/>
      <c r="AD28" s="1277"/>
      <c r="AE28" s="1278"/>
      <c r="AF28" s="1277"/>
      <c r="AG28" s="1278"/>
      <c r="AH28" s="1279"/>
      <c r="AI28" s="1278"/>
      <c r="AJ28" s="1277"/>
      <c r="AK28" s="1278"/>
      <c r="AL28" s="1277"/>
      <c r="AM28" s="1280"/>
      <c r="AN28" s="1221"/>
      <c r="AO28" s="1221"/>
      <c r="AP28" s="1221"/>
      <c r="AQ28" s="1221"/>
      <c r="AR28" s="1221"/>
      <c r="AS28" s="1221"/>
      <c r="AT28" s="1221"/>
      <c r="AU28" s="1221"/>
    </row>
    <row r="29">
      <c r="H29" s="1271"/>
      <c r="I29" s="1271"/>
      <c r="J29" s="1271"/>
      <c r="K29" s="1271"/>
      <c r="L29" s="1271"/>
      <c r="M29" s="1272"/>
      <c r="N29" s="1221"/>
      <c r="O29" s="1221"/>
      <c r="P29" s="1221"/>
      <c r="Q29" s="1221"/>
      <c r="R29" s="1221"/>
      <c r="S29" s="1221"/>
      <c r="T29" s="1221"/>
      <c r="U29" s="1221"/>
      <c r="V29" s="1221"/>
      <c r="W29" s="1221"/>
      <c r="X29" s="1221"/>
      <c r="Y29" s="1221"/>
      <c r="Z29" s="1221"/>
      <c r="AA29" s="1221"/>
      <c r="AB29" s="1221"/>
      <c r="AC29" s="1221"/>
      <c r="AD29" s="1221"/>
      <c r="AE29" s="1221"/>
      <c r="AF29" s="1221"/>
      <c r="AG29" s="1221"/>
      <c r="AH29" s="1281"/>
      <c r="AI29" s="1221"/>
      <c r="AJ29" s="1221"/>
      <c r="AK29" s="1221"/>
      <c r="AL29" s="1221"/>
      <c r="AM29" s="1221"/>
      <c r="AN29" s="1221"/>
      <c r="AO29" s="1221"/>
      <c r="AP29" s="1221"/>
      <c r="AQ29" s="1221"/>
      <c r="AR29" s="1221"/>
      <c r="AS29" s="1221"/>
      <c r="AT29" s="1221"/>
      <c r="AU29" s="1221"/>
    </row>
    <row r="30">
      <c r="H30" s="1271"/>
      <c r="I30" s="1271"/>
      <c r="J30" s="1271"/>
      <c r="K30" s="1271"/>
      <c r="L30" s="1271"/>
      <c r="M30" s="1272"/>
      <c r="N30" s="1221"/>
      <c r="O30" s="1221"/>
      <c r="P30" s="1221"/>
      <c r="Q30" s="1221"/>
      <c r="R30" s="1221"/>
      <c r="S30" s="1221"/>
      <c r="T30" s="1221"/>
      <c r="U30" s="1221"/>
      <c r="V30" s="1221"/>
      <c r="W30" s="1221"/>
      <c r="X30" s="1221"/>
      <c r="Y30" s="1221"/>
      <c r="Z30" s="1221"/>
      <c r="AA30" s="1221"/>
      <c r="AB30" s="1221"/>
      <c r="AC30" s="1221"/>
      <c r="AD30" s="1221"/>
      <c r="AE30" s="1221"/>
      <c r="AF30" s="1221"/>
      <c r="AG30" s="1221"/>
      <c r="AH30" s="1281"/>
      <c r="AI30" s="1221"/>
      <c r="AJ30" s="1221"/>
      <c r="AK30" s="1221"/>
      <c r="AL30" s="1221"/>
      <c r="AM30" s="1221"/>
      <c r="AN30" s="1221"/>
      <c r="AO30" s="1221"/>
      <c r="AP30" s="1221"/>
      <c r="AQ30" s="1221"/>
      <c r="AR30" s="1221"/>
      <c r="AS30" s="1221"/>
      <c r="AT30" s="1221"/>
      <c r="AU30" s="1221"/>
    </row>
    <row r="31">
      <c r="AH31" s="274"/>
    </row>
    <row r="32">
      <c r="AH32" s="274"/>
    </row>
    <row r="33">
      <c r="B33" s="1282"/>
      <c r="C33" s="1282"/>
      <c r="D33" s="1282"/>
      <c r="E33" s="1282"/>
      <c r="F33" s="1282"/>
      <c r="G33" s="1282"/>
      <c r="H33" s="1282"/>
      <c r="I33" s="1282"/>
      <c r="J33" s="1282" t="s">
        <v>903</v>
      </c>
      <c r="K33" s="1282"/>
      <c r="L33" s="1282"/>
      <c r="AH33" s="274"/>
    </row>
    <row r="34">
      <c r="B34" s="1283" t="s">
        <v>929</v>
      </c>
      <c r="C34" s="1282"/>
      <c r="D34" s="1282"/>
      <c r="E34" s="1282"/>
      <c r="F34" s="1282"/>
      <c r="G34" s="1282"/>
      <c r="H34" s="1282"/>
      <c r="I34" s="1282"/>
      <c r="J34" s="1282"/>
      <c r="K34" s="1282"/>
      <c r="L34" s="1282"/>
      <c r="O34" s="2"/>
      <c r="P34" s="2"/>
      <c r="Q34" s="2"/>
      <c r="S34" s="2"/>
      <c r="T34" s="2"/>
      <c r="U34" s="2"/>
      <c r="AH34" s="274"/>
    </row>
    <row r="35">
      <c r="B35" s="1284" t="s">
        <v>930</v>
      </c>
      <c r="C35" s="1285"/>
      <c r="D35" s="1282"/>
      <c r="E35" s="1282"/>
      <c r="F35" s="1282"/>
      <c r="G35" s="1282"/>
      <c r="H35" s="1282"/>
      <c r="I35" s="1282"/>
      <c r="J35" s="1282"/>
      <c r="K35" s="1282"/>
      <c r="L35" s="1282"/>
      <c r="O35" s="2"/>
      <c r="P35" s="2"/>
      <c r="Q35" s="2"/>
      <c r="S35" s="2"/>
      <c r="T35" s="2"/>
      <c r="U35" s="2"/>
      <c r="AH35" s="274"/>
    </row>
    <row r="36">
      <c r="B36" s="1286" t="s">
        <v>931</v>
      </c>
      <c r="C36" s="1251"/>
      <c r="D36" s="1286" t="s">
        <v>932</v>
      </c>
      <c r="E36" s="1251"/>
      <c r="F36" s="1286" t="s">
        <v>933</v>
      </c>
      <c r="G36" s="1287"/>
      <c r="H36" s="1288" t="s">
        <v>934</v>
      </c>
      <c r="I36" s="1287"/>
      <c r="J36" s="1251"/>
      <c r="K36" s="1286" t="s">
        <v>935</v>
      </c>
      <c r="L36" s="1251"/>
      <c r="O36" s="2" t="s">
        <v>81</v>
      </c>
      <c r="P36" s="2" t="s">
        <v>82</v>
      </c>
      <c r="Q36" s="2" t="s">
        <v>936</v>
      </c>
      <c r="S36" s="2" t="s">
        <v>89</v>
      </c>
      <c r="T36" s="2" t="s">
        <v>90</v>
      </c>
      <c r="U36" s="2" t="s">
        <v>92</v>
      </c>
      <c r="W36" s="2" t="s">
        <v>81</v>
      </c>
      <c r="X36" s="2" t="s">
        <v>82</v>
      </c>
      <c r="Y36" s="2" t="s">
        <v>936</v>
      </c>
      <c r="AA36" s="2" t="s">
        <v>89</v>
      </c>
      <c r="AB36" s="2" t="s">
        <v>90</v>
      </c>
      <c r="AC36" s="2" t="s">
        <v>92</v>
      </c>
      <c r="AH36" s="274"/>
    </row>
    <row r="37">
      <c r="B37" s="1289"/>
      <c r="C37" s="1290"/>
      <c r="D37" s="1289"/>
      <c r="E37" s="1290"/>
      <c r="F37" s="1289"/>
      <c r="G37" s="1291"/>
      <c r="H37" s="1289"/>
      <c r="I37" s="1291"/>
      <c r="J37" s="1290"/>
      <c r="K37" s="1289"/>
      <c r="L37" s="1290"/>
      <c r="N37" s="2" t="s">
        <v>937</v>
      </c>
      <c r="O37" s="1292" t="s">
        <v>52</v>
      </c>
      <c r="P37" s="1292" t="s">
        <v>938</v>
      </c>
      <c r="Q37" s="1292" t="s">
        <v>41</v>
      </c>
      <c r="R37" s="1293"/>
      <c r="S37" s="1292"/>
      <c r="T37" s="1292" t="s">
        <v>488</v>
      </c>
      <c r="U37" s="1294" t="s">
        <v>939</v>
      </c>
      <c r="V37" s="2" t="s">
        <v>930</v>
      </c>
      <c r="W37" s="1293" t="str">
        <f>'🔵クレーム'!C28</f>
        <v>2月</v>
      </c>
      <c r="X37" s="1293" t="str">
        <f>'🔵クレーム'!D28</f>
        <v>5日</v>
      </c>
      <c r="Y37" s="1292" t="str">
        <f>'🔵クレーム'!I28</f>
        <v>セット漏れ</v>
      </c>
      <c r="Z37" s="1293" t="str">
        <f>'🔵クレーム'!J28</f>
        <v/>
      </c>
      <c r="AA37" s="1293" t="str">
        <f>'🔵クレーム'!K28</f>
        <v>イラノ</v>
      </c>
      <c r="AB37" s="1293" t="str">
        <f>'🔵クレーム'!L28</f>
        <v>サムジャナ</v>
      </c>
      <c r="AC37" s="1295" t="str">
        <f>'🔵クレーム'!N28</f>
        <v>ダブルセットになっていなかった</v>
      </c>
      <c r="AE37" s="23" t="str">
        <f>IFERROR(__xludf.DUMMYFUNCTION("{""全員"";
  SORT(
    UNIQUE(
      FILTER(
        {
          IF($C$93=""R7"", $S$37:$S1038, $AA$37:$AA1038);
          IF($C$93=""R7"", $T$37:$T1038, $AB$37:$AB1038)
        },
        {
          IF($C$93=""R7"", $S$37:$S1038&lt;&gt;"""", $AA$37:$AA1038&lt;&gt;"""&amp;""");
          IF($C$93=""R7"", $T$37:$T1038&lt;&gt;"""", $AB$37:$AB1038&lt;&gt;"""")
        }
      )
    )
  )
}"),"全員")</f>
        <v>全員</v>
      </c>
      <c r="AH37" s="274"/>
    </row>
    <row r="38">
      <c r="B38" s="1296" t="s">
        <v>90</v>
      </c>
      <c r="C38" s="1297" t="s">
        <v>940</v>
      </c>
      <c r="D38" s="1298" t="s">
        <v>89</v>
      </c>
      <c r="E38" s="1297" t="s">
        <v>940</v>
      </c>
      <c r="F38" s="1299" t="s">
        <v>936</v>
      </c>
      <c r="G38" s="1300" t="s">
        <v>940</v>
      </c>
      <c r="H38" s="1298" t="s">
        <v>936</v>
      </c>
      <c r="I38" s="1301" t="s">
        <v>940</v>
      </c>
      <c r="J38" s="1302" t="s">
        <v>941</v>
      </c>
      <c r="K38" s="1303"/>
      <c r="L38" s="1300" t="s">
        <v>940</v>
      </c>
      <c r="O38" s="1292" t="s">
        <v>52</v>
      </c>
      <c r="P38" s="1292" t="s">
        <v>942</v>
      </c>
      <c r="Q38" s="1292" t="s">
        <v>41</v>
      </c>
      <c r="R38" s="1293"/>
      <c r="S38" s="1292"/>
      <c r="T38" s="1292" t="s">
        <v>157</v>
      </c>
      <c r="U38" s="1294" t="s">
        <v>943</v>
      </c>
      <c r="W38" s="1293" t="str">
        <f>'🔵クレーム'!C29</f>
        <v>2月</v>
      </c>
      <c r="X38" s="1293" t="str">
        <f>'🔵クレーム'!D29</f>
        <v>7日</v>
      </c>
      <c r="Y38" s="1292" t="str">
        <f>'🔵クレーム'!I29</f>
        <v>セット漏れ</v>
      </c>
      <c r="Z38" s="1293" t="str">
        <f>'🔵クレーム'!J29</f>
        <v/>
      </c>
      <c r="AA38" s="1293" t="str">
        <f>'🔵クレーム'!K29</f>
        <v>サムジャナ</v>
      </c>
      <c r="AB38" s="1293" t="str">
        <f>'🔵クレーム'!L29</f>
        <v>ビンデュ</v>
      </c>
      <c r="AC38" s="1295" t="str">
        <f>'🔵クレーム'!N29</f>
        <v>シャンプーがなかった</v>
      </c>
      <c r="AE38" s="23" t="str">
        <f>IFERROR(__xludf.DUMMYFUNCTION("""COMPUTED_VALUE"""),"アニル")</f>
        <v>アニル</v>
      </c>
      <c r="AH38" s="274"/>
    </row>
    <row r="39">
      <c r="B39" s="1304"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05">
        <f>IFERROR(__xludf.DUMMYFUNCTION("""COMPUTED_VALUE"""),3.0)</f>
        <v>3</v>
      </c>
      <c r="D39" s="1304" t="str">
        <f>IFERROR(__xludf.DUMMYFUNCTION("IFERROR(
  QUERY(
    {
      IF($B$35=""R7"",$S$37:$S1038,$AA$37:$AA1038),
      IF($B$35=""R7"",$S$37:$S1038,$AA$37:$AA1038)
    },
    ""select Col1, count(Col2)
     where Col1 is not null and Col1 &lt;&gt; ''
     group by Col1
     order by count(Col2) de"&amp;"sc, Col1 asc
     label Col1 '', count(Col2) ''"",
    0
  ),
  """"
)"),"ラジタ")</f>
        <v>ラジタ</v>
      </c>
      <c r="E39" s="1306">
        <f>IFERROR(__xludf.DUMMYFUNCTION("""COMPUTED_VALUE"""),3.0)</f>
        <v>3</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IFERROR(__xludf.DUMMYFUNCTION("""COMPUTED_VALUE"""),11.0)</f>
        <v>11</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IFERROR(__xludf.DUMMYFUNCTION("""COMPUTED_VALUE"""),5.0)</f>
        <v>5</v>
      </c>
      <c r="J39" s="1311">
        <f t="array" ref="J39:J1038">IF(H39:H1038="","", I39:I1038 / SUM(I39:I1038))</f>
        <v>0.2941176471</v>
      </c>
      <c r="K39" s="1312" t="s">
        <v>40</v>
      </c>
      <c r="L39" s="1313">
        <f t="shared" ref="L39:L50" si="5">AB17</f>
        <v>0</v>
      </c>
      <c r="O39" s="1292" t="s">
        <v>52</v>
      </c>
      <c r="P39" s="1292" t="s">
        <v>98</v>
      </c>
      <c r="Q39" s="1292" t="s">
        <v>31</v>
      </c>
      <c r="R39" s="1293"/>
      <c r="S39" s="1293"/>
      <c r="T39" s="1292" t="s">
        <v>490</v>
      </c>
      <c r="U39" s="1294" t="s">
        <v>944</v>
      </c>
      <c r="W39" s="1293" t="str">
        <f>'🔵クレーム'!C30</f>
        <v>2月</v>
      </c>
      <c r="X39" s="1293" t="str">
        <f>'🔵クレーム'!D30</f>
        <v>11日</v>
      </c>
      <c r="Y39" s="1292" t="str">
        <f>'🔵クレーム'!I30</f>
        <v/>
      </c>
      <c r="Z39" s="1293" t="str">
        <f>'🔵クレーム'!J30</f>
        <v>その他</v>
      </c>
      <c r="AA39" s="1293" t="str">
        <f>'🔵クレーム'!K30</f>
        <v>谷口</v>
      </c>
      <c r="AB39" s="1293" t="str">
        <f>'🔵クレーム'!L30</f>
        <v/>
      </c>
      <c r="AC39" s="1295"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74">
        <f>IFERROR(__xludf.DUMMYFUNCTION("""COMPUTED_VALUE"""),0.29411764705882354)</f>
        <v>0.2941176471</v>
      </c>
    </row>
    <row r="40">
      <c r="B40" s="1314" t="str">
        <f>IFERROR(__xludf.DUMMYFUNCTION("""COMPUTED_VALUE"""),"サムジャナ")</f>
        <v>サムジャナ</v>
      </c>
      <c r="C40" s="1315">
        <f>IFERROR(__xludf.DUMMYFUNCTION("""COMPUTED_VALUE"""),2.0)</f>
        <v>2</v>
      </c>
      <c r="D40" s="1314" t="str">
        <f>IFERROR(__xludf.DUMMYFUNCTION("""COMPUTED_VALUE"""),"ラディカ")</f>
        <v>ラディカ</v>
      </c>
      <c r="E40" s="1316">
        <f>IFERROR(__xludf.DUMMYFUNCTION("""COMPUTED_VALUE"""),3.0)</f>
        <v>3</v>
      </c>
      <c r="F40" s="1314" t="str">
        <f>IFERROR(__xludf.DUMMYFUNCTION("""COMPUTED_VALUE"""),"残置")</f>
        <v>残置</v>
      </c>
      <c r="G40" s="1315">
        <f>IFERROR(__xludf.DUMMYFUNCTION("""COMPUTED_VALUE"""),5.0)</f>
        <v>5</v>
      </c>
      <c r="H40" s="1317" t="str">
        <f>IFERROR(__xludf.DUMMYFUNCTION("""COMPUTED_VALUE"""),"セット漏れ")</f>
        <v>セット漏れ</v>
      </c>
      <c r="I40" s="1318">
        <f>IFERROR(__xludf.DUMMYFUNCTION("""COMPUTED_VALUE"""),3.0)</f>
        <v>3</v>
      </c>
      <c r="J40" s="1319">
        <v>0.17647058823529413</v>
      </c>
      <c r="K40" s="1320" t="s">
        <v>39</v>
      </c>
      <c r="L40" s="1321">
        <f t="shared" si="5"/>
        <v>0</v>
      </c>
      <c r="O40" s="1292" t="s">
        <v>52</v>
      </c>
      <c r="P40" s="1292" t="s">
        <v>116</v>
      </c>
      <c r="Q40" s="1292" t="s">
        <v>41</v>
      </c>
      <c r="R40" s="1293"/>
      <c r="S40" s="1292" t="s">
        <v>111</v>
      </c>
      <c r="T40" s="1292" t="s">
        <v>945</v>
      </c>
      <c r="U40" s="1294" t="s">
        <v>946</v>
      </c>
      <c r="W40" s="1293" t="str">
        <f>'🔵クレーム'!C31</f>
        <v>2月</v>
      </c>
      <c r="X40" s="1293" t="str">
        <f>'🔵クレーム'!D31</f>
        <v>10日</v>
      </c>
      <c r="Y40" s="1292" t="str">
        <f>'🔵クレーム'!I31</f>
        <v/>
      </c>
      <c r="Z40" s="1293" t="str">
        <f>'🔵クレーム'!J31</f>
        <v>口コミ</v>
      </c>
      <c r="AA40" s="1293" t="str">
        <f>'🔵クレーム'!K31</f>
        <v/>
      </c>
      <c r="AB40" s="1293" t="str">
        <f>'🔵クレーム'!L31</f>
        <v/>
      </c>
      <c r="AC40" s="1295"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74">
        <f>IFERROR(__xludf.DUMMYFUNCTION("""COMPUTED_VALUE"""),0.17647058823529413)</f>
        <v>0.1764705882</v>
      </c>
      <c r="AK40" s="1322"/>
      <c r="AL40" s="1322"/>
      <c r="AM40" s="1323"/>
    </row>
    <row r="41">
      <c r="B41" s="1314" t="str">
        <f>IFERROR(__xludf.DUMMYFUNCTION("""COMPUTED_VALUE"""),"プスカル")</f>
        <v>プスカル</v>
      </c>
      <c r="C41" s="1315">
        <f>IFERROR(__xludf.DUMMYFUNCTION("""COMPUTED_VALUE"""),2.0)</f>
        <v>2</v>
      </c>
      <c r="D41" s="1314" t="str">
        <f>IFERROR(__xludf.DUMMYFUNCTION("""COMPUTED_VALUE"""),"谷口")</f>
        <v>谷口</v>
      </c>
      <c r="E41" s="1316">
        <f>IFERROR(__xludf.DUMMYFUNCTION("""COMPUTED_VALUE"""),3.0)</f>
        <v>3</v>
      </c>
      <c r="F41" s="1314" t="str">
        <f>IFERROR(__xludf.DUMMYFUNCTION("""COMPUTED_VALUE"""),"その他")</f>
        <v>その他</v>
      </c>
      <c r="G41" s="1315">
        <f>IFERROR(__xludf.DUMMYFUNCTION("""COMPUTED_VALUE"""),4.0)</f>
        <v>4</v>
      </c>
      <c r="H41" s="1317" t="str">
        <f>IFERROR(__xludf.DUMMYFUNCTION("""COMPUTED_VALUE"""),"その他")</f>
        <v>その他</v>
      </c>
      <c r="I41" s="1318">
        <f>IFERROR(__xludf.DUMMYFUNCTION("""COMPUTED_VALUE"""),2.0)</f>
        <v>2</v>
      </c>
      <c r="J41" s="1319">
        <v>0.11764705882352941</v>
      </c>
      <c r="K41" s="1320" t="s">
        <v>38</v>
      </c>
      <c r="L41" s="1321">
        <f t="shared" si="5"/>
        <v>2</v>
      </c>
      <c r="O41" s="1292" t="s">
        <v>52</v>
      </c>
      <c r="P41" s="1292" t="s">
        <v>135</v>
      </c>
      <c r="Q41" s="1292" t="s">
        <v>41</v>
      </c>
      <c r="R41" s="1293"/>
      <c r="S41" s="1292" t="s">
        <v>947</v>
      </c>
      <c r="T41" s="1292" t="s">
        <v>948</v>
      </c>
      <c r="U41" s="1294" t="s">
        <v>949</v>
      </c>
      <c r="W41" s="1293" t="str">
        <f>'🔵クレーム'!C32</f>
        <v>2月</v>
      </c>
      <c r="X41" s="1293" t="str">
        <f>'🔵クレーム'!D32</f>
        <v>7日</v>
      </c>
      <c r="Y41" s="1292" t="str">
        <f>'🔵クレーム'!I32</f>
        <v/>
      </c>
      <c r="Z41" s="1293" t="str">
        <f>'🔵クレーム'!J32</f>
        <v>口コミ</v>
      </c>
      <c r="AA41" s="1293" t="str">
        <f>'🔵クレーム'!K32</f>
        <v/>
      </c>
      <c r="AB41" s="1293" t="str">
        <f>'🔵クレーム'!L32</f>
        <v/>
      </c>
      <c r="AC41" s="1295" t="str">
        <f>'🔵クレーム'!N32</f>
        <v>UB換気悪い</v>
      </c>
      <c r="AE41" s="23" t="str">
        <f>IFERROR(__xludf.DUMMYFUNCTION("""COMPUTED_VALUE"""),"ウメス")</f>
        <v>ウメス</v>
      </c>
      <c r="AF41" s="23" t="str">
        <f>IFERROR(__xludf.DUMMYFUNCTION("""COMPUTED_VALUE"""),"その他")</f>
        <v>その他</v>
      </c>
      <c r="AG41" s="23">
        <f>IFERROR(__xludf.DUMMYFUNCTION("""COMPUTED_VALUE"""),2.0)</f>
        <v>2</v>
      </c>
      <c r="AH41" s="274">
        <f>IFERROR(__xludf.DUMMYFUNCTION("""COMPUTED_VALUE"""),0.11764705882352941)</f>
        <v>0.1176470588</v>
      </c>
      <c r="AK41" s="1322"/>
      <c r="AL41" s="1322"/>
      <c r="AM41" s="1323"/>
    </row>
    <row r="42">
      <c r="B42" s="1314" t="str">
        <f>IFERROR(__xludf.DUMMYFUNCTION("""COMPUTED_VALUE"""),"アディカリ")</f>
        <v>アディカリ</v>
      </c>
      <c r="C42" s="1315">
        <f>IFERROR(__xludf.DUMMYFUNCTION("""COMPUTED_VALUE"""),1.0)</f>
        <v>1</v>
      </c>
      <c r="D42" s="1314" t="str">
        <f>IFERROR(__xludf.DUMMYFUNCTION("""COMPUTED_VALUE"""),"エマ")</f>
        <v>エマ</v>
      </c>
      <c r="E42" s="1316">
        <f>IFERROR(__xludf.DUMMYFUNCTION("""COMPUTED_VALUE"""),2.0)</f>
        <v>2</v>
      </c>
      <c r="F42" s="1314" t="str">
        <f>IFERROR(__xludf.DUMMYFUNCTION("""COMPUTED_VALUE"""),"セット漏れ")</f>
        <v>セット漏れ</v>
      </c>
      <c r="G42" s="1315">
        <f>IFERROR(__xludf.DUMMYFUNCTION("""COMPUTED_VALUE"""),3.0)</f>
        <v>3</v>
      </c>
      <c r="H42" s="1317" t="str">
        <f>IFERROR(__xludf.DUMMYFUNCTION("""COMPUTED_VALUE"""),"清掃不備")</f>
        <v>清掃不備</v>
      </c>
      <c r="I42" s="1318">
        <f>IFERROR(__xludf.DUMMYFUNCTION("""COMPUTED_VALUE"""),2.0)</f>
        <v>2</v>
      </c>
      <c r="J42" s="1319">
        <v>0.11764705882352941</v>
      </c>
      <c r="K42" s="1320" t="s">
        <v>41</v>
      </c>
      <c r="L42" s="1321">
        <f t="shared" si="5"/>
        <v>0</v>
      </c>
      <c r="O42" s="1292" t="s">
        <v>52</v>
      </c>
      <c r="P42" s="1292" t="s">
        <v>152</v>
      </c>
      <c r="Q42" s="1292" t="s">
        <v>42</v>
      </c>
      <c r="R42" s="1293"/>
      <c r="S42" s="1292" t="s">
        <v>947</v>
      </c>
      <c r="T42" s="1292" t="s">
        <v>950</v>
      </c>
      <c r="U42" s="1294" t="s">
        <v>951</v>
      </c>
      <c r="W42" s="1293" t="str">
        <f>'🔵クレーム'!C33</f>
        <v>2月</v>
      </c>
      <c r="X42" s="1293" t="str">
        <f>'🔵クレーム'!D33</f>
        <v>7日</v>
      </c>
      <c r="Y42" s="1292" t="str">
        <f>'🔵クレーム'!I33</f>
        <v/>
      </c>
      <c r="Z42" s="1293" t="str">
        <f>'🔵クレーム'!J33</f>
        <v>口コミ</v>
      </c>
      <c r="AA42" s="1293" t="str">
        <f>'🔵クレーム'!K33</f>
        <v/>
      </c>
      <c r="AB42" s="1293" t="str">
        <f>'🔵クレーム'!L33</f>
        <v/>
      </c>
      <c r="AC42" s="1295" t="str">
        <f>'🔵クレーム'!N33</f>
        <v>栓のチェーン根元のステンレスの部分から髪の毛が出てきた</v>
      </c>
      <c r="AE42" s="23" t="str">
        <f>IFERROR(__xludf.DUMMYFUNCTION("""COMPUTED_VALUE"""),"エマ")</f>
        <v>エマ</v>
      </c>
      <c r="AF42" s="23" t="str">
        <f>IFERROR(__xludf.DUMMYFUNCTION("""COMPUTED_VALUE"""),"清掃不備")</f>
        <v>清掃不備</v>
      </c>
      <c r="AG42" s="23">
        <f>IFERROR(__xludf.DUMMYFUNCTION("""COMPUTED_VALUE"""),2.0)</f>
        <v>2</v>
      </c>
      <c r="AH42" s="274">
        <f>IFERROR(__xludf.DUMMYFUNCTION("""COMPUTED_VALUE"""),0.11764705882352941)</f>
        <v>0.1176470588</v>
      </c>
      <c r="AK42" s="1322"/>
      <c r="AL42" s="1322"/>
      <c r="AM42" s="1323"/>
    </row>
    <row r="43">
      <c r="B43" s="1314" t="str">
        <f>IFERROR(__xludf.DUMMYFUNCTION("""COMPUTED_VALUE"""),"ソバ")</f>
        <v>ソバ</v>
      </c>
      <c r="C43" s="1315">
        <f>IFERROR(__xludf.DUMMYFUNCTION("""COMPUTED_VALUE"""),1.0)</f>
        <v>1</v>
      </c>
      <c r="D43" s="1314" t="str">
        <f>IFERROR(__xludf.DUMMYFUNCTION("""COMPUTED_VALUE"""),"サムジャナ")</f>
        <v>サムジャナ</v>
      </c>
      <c r="E43" s="1316">
        <f>IFERROR(__xludf.DUMMYFUNCTION("""COMPUTED_VALUE"""),2.0)</f>
        <v>2</v>
      </c>
      <c r="F43" s="1314" t="str">
        <f>IFERROR(__xludf.DUMMYFUNCTION("""COMPUTED_VALUE"""),"清掃不備")</f>
        <v>清掃不備</v>
      </c>
      <c r="G43" s="1315">
        <f>IFERROR(__xludf.DUMMYFUNCTION("""COMPUTED_VALUE"""),2.0)</f>
        <v>2</v>
      </c>
      <c r="H43" s="1317" t="str">
        <f>IFERROR(__xludf.DUMMYFUNCTION("""COMPUTED_VALUE"""),"髪の毛")</f>
        <v>髪の毛</v>
      </c>
      <c r="I43" s="1318">
        <f>IFERROR(__xludf.DUMMYFUNCTION("""COMPUTED_VALUE"""),2.0)</f>
        <v>2</v>
      </c>
      <c r="J43" s="1319">
        <v>0.11764705882352941</v>
      </c>
      <c r="K43" s="1320" t="s">
        <v>43</v>
      </c>
      <c r="L43" s="1321">
        <f t="shared" si="5"/>
        <v>0</v>
      </c>
      <c r="O43" s="1292" t="s">
        <v>52</v>
      </c>
      <c r="P43" s="1292" t="s">
        <v>161</v>
      </c>
      <c r="Q43" s="1292" t="s">
        <v>42</v>
      </c>
      <c r="R43" s="1293"/>
      <c r="S43" s="1292" t="s">
        <v>947</v>
      </c>
      <c r="T43" s="1292" t="s">
        <v>952</v>
      </c>
      <c r="U43" s="1294" t="s">
        <v>951</v>
      </c>
      <c r="W43" s="1293" t="str">
        <f>'🔵クレーム'!C34</f>
        <v>2月</v>
      </c>
      <c r="X43" s="1293" t="str">
        <f>'🔵クレーム'!D34</f>
        <v>12日</v>
      </c>
      <c r="Y43" s="1292" t="str">
        <f>'🔵クレーム'!I34</f>
        <v>残置</v>
      </c>
      <c r="Z43" s="1293" t="str">
        <f>'🔵クレーム'!J34</f>
        <v/>
      </c>
      <c r="AA43" s="1293" t="str">
        <f>'🔵クレーム'!K34</f>
        <v>ラディカ</v>
      </c>
      <c r="AB43" s="1293" t="str">
        <f>'🔵クレーム'!L34</f>
        <v>サンティ</v>
      </c>
      <c r="AC43" s="1295" t="str">
        <f>'🔵クレーム'!N34</f>
        <v>冷蔵庫に前泊者のペットボトルあり</v>
      </c>
      <c r="AE43" s="23" t="str">
        <f>IFERROR(__xludf.DUMMYFUNCTION("""COMPUTED_VALUE"""),"カビタ")</f>
        <v>カビタ</v>
      </c>
      <c r="AF43" s="23" t="str">
        <f>IFERROR(__xludf.DUMMYFUNCTION("""COMPUTED_VALUE"""),"髪の毛")</f>
        <v>髪の毛</v>
      </c>
      <c r="AG43" s="23">
        <f>IFERROR(__xludf.DUMMYFUNCTION("""COMPUTED_VALUE"""),2.0)</f>
        <v>2</v>
      </c>
      <c r="AH43" s="274">
        <f>IFERROR(__xludf.DUMMYFUNCTION("""COMPUTED_VALUE"""),0.11764705882352941)</f>
        <v>0.1176470588</v>
      </c>
      <c r="AK43" s="1322"/>
      <c r="AL43" s="1322"/>
      <c r="AM43" s="1323"/>
    </row>
    <row r="44">
      <c r="B44" s="1314" t="str">
        <f>IFERROR(__xludf.DUMMYFUNCTION("""COMPUTED_VALUE"""),"ビンデュ")</f>
        <v>ビンデュ</v>
      </c>
      <c r="C44" s="1315">
        <f>IFERROR(__xludf.DUMMYFUNCTION("""COMPUTED_VALUE"""),1.0)</f>
        <v>1</v>
      </c>
      <c r="D44" s="1314" t="str">
        <f>IFERROR(__xludf.DUMMYFUNCTION("""COMPUTED_VALUE"""),"ジェ")</f>
        <v>ジェ</v>
      </c>
      <c r="E44" s="1316">
        <f>IFERROR(__xludf.DUMMYFUNCTION("""COMPUTED_VALUE"""),2.0)</f>
        <v>2</v>
      </c>
      <c r="F44" s="1314" t="str">
        <f>IFERROR(__xludf.DUMMYFUNCTION("""COMPUTED_VALUE"""),"髪の毛")</f>
        <v>髪の毛</v>
      </c>
      <c r="G44" s="1315">
        <f>IFERROR(__xludf.DUMMYFUNCTION("""COMPUTED_VALUE"""),2.0)</f>
        <v>2</v>
      </c>
      <c r="H44" s="1317" t="str">
        <f>IFERROR(__xludf.DUMMYFUNCTION("""COMPUTED_VALUE"""),"ドア閉め忘れ")</f>
        <v>ドア閉め忘れ</v>
      </c>
      <c r="I44" s="1318">
        <f>IFERROR(__xludf.DUMMYFUNCTION("""COMPUTED_VALUE"""),1.0)</f>
        <v>1</v>
      </c>
      <c r="J44" s="1319">
        <v>0.058823529411764705</v>
      </c>
      <c r="K44" s="1320" t="s">
        <v>42</v>
      </c>
      <c r="L44" s="1321">
        <f t="shared" si="5"/>
        <v>0</v>
      </c>
      <c r="O44" s="1292" t="s">
        <v>52</v>
      </c>
      <c r="P44" s="1292" t="s">
        <v>170</v>
      </c>
      <c r="Q44" s="1292" t="s">
        <v>39</v>
      </c>
      <c r="R44" s="1293"/>
      <c r="S44" s="1292" t="s">
        <v>947</v>
      </c>
      <c r="T44" s="1292" t="s">
        <v>953</v>
      </c>
      <c r="U44" s="1294" t="s">
        <v>954</v>
      </c>
      <c r="W44" s="1293" t="str">
        <f>'🔵クレーム'!C35</f>
        <v>2月</v>
      </c>
      <c r="X44" s="1293" t="str">
        <f>'🔵クレーム'!D35</f>
        <v>12日</v>
      </c>
      <c r="Y44" s="1292" t="str">
        <f>'🔵クレーム'!I35</f>
        <v>セット漏れ</v>
      </c>
      <c r="Z44" s="1293" t="str">
        <f>'🔵クレーム'!J35</f>
        <v/>
      </c>
      <c r="AA44" s="1293" t="str">
        <f>'🔵クレーム'!K35</f>
        <v>ラジタ</v>
      </c>
      <c r="AB44" s="1293" t="str">
        <f>'🔵クレーム'!L35</f>
        <v/>
      </c>
      <c r="AC44" s="1295"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74">
        <f>IFERROR(__xludf.DUMMYFUNCTION("""COMPUTED_VALUE"""),0.058823529411764705)</f>
        <v>0.05882352941</v>
      </c>
      <c r="AK44" s="1322"/>
      <c r="AL44" s="1322"/>
      <c r="AM44" s="1323"/>
    </row>
    <row r="45">
      <c r="B45" s="1314" t="str">
        <f>IFERROR(__xludf.DUMMYFUNCTION("""COMPUTED_VALUE"""),"モハン")</f>
        <v>モハン</v>
      </c>
      <c r="C45" s="1315">
        <f>IFERROR(__xludf.DUMMYFUNCTION("""COMPUTED_VALUE"""),1.0)</f>
        <v>1</v>
      </c>
      <c r="D45" s="1314" t="str">
        <f>IFERROR(__xludf.DUMMYFUNCTION("""COMPUTED_VALUE"""),"ジャムナ")</f>
        <v>ジャムナ</v>
      </c>
      <c r="E45" s="1316">
        <f>IFERROR(__xludf.DUMMYFUNCTION("""COMPUTED_VALUE"""),2.0)</f>
        <v>2</v>
      </c>
      <c r="F45" s="1314" t="str">
        <f>IFERROR(__xludf.DUMMYFUNCTION("""COMPUTED_VALUE"""),"ドア閉め忘れ")</f>
        <v>ドア閉め忘れ</v>
      </c>
      <c r="G45" s="1315">
        <f>IFERROR(__xludf.DUMMYFUNCTION("""COMPUTED_VALUE"""),1.0)</f>
        <v>1</v>
      </c>
      <c r="H45" s="1317" t="str">
        <f>IFERROR(__xludf.DUMMYFUNCTION("""COMPUTED_VALUE"""),"巻き込み")</f>
        <v>巻き込み</v>
      </c>
      <c r="I45" s="1318">
        <f>IFERROR(__xludf.DUMMYFUNCTION("""COMPUTED_VALUE"""),1.0)</f>
        <v>1</v>
      </c>
      <c r="J45" s="1319">
        <v>0.058823529411764705</v>
      </c>
      <c r="K45" s="1320" t="s">
        <v>955</v>
      </c>
      <c r="L45" s="1321">
        <f t="shared" si="5"/>
        <v>1</v>
      </c>
      <c r="O45" s="1292" t="s">
        <v>52</v>
      </c>
      <c r="P45" s="1292" t="s">
        <v>792</v>
      </c>
      <c r="Q45" s="1292" t="s">
        <v>39</v>
      </c>
      <c r="R45" s="1293"/>
      <c r="S45" s="1292" t="s">
        <v>111</v>
      </c>
      <c r="T45" s="1292" t="s">
        <v>496</v>
      </c>
      <c r="U45" s="1294" t="s">
        <v>956</v>
      </c>
      <c r="W45" s="1293" t="str">
        <f>'🔵クレーム'!C36</f>
        <v>2月</v>
      </c>
      <c r="X45" s="1293" t="str">
        <f>'🔵クレーム'!D36</f>
        <v>16日</v>
      </c>
      <c r="Y45" s="1292" t="str">
        <f>'🔵クレーム'!I36</f>
        <v/>
      </c>
      <c r="Z45" s="1293" t="str">
        <f>'🔵クレーム'!J36</f>
        <v>その他</v>
      </c>
      <c r="AA45" s="1293" t="str">
        <f>'🔵クレーム'!K36</f>
        <v>ルドラ</v>
      </c>
      <c r="AB45" s="1293" t="str">
        <f>'🔵クレーム'!L36</f>
        <v/>
      </c>
      <c r="AC45" s="1295"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74">
        <f>IFERROR(__xludf.DUMMYFUNCTION("""COMPUTED_VALUE"""),0.058823529411764705)</f>
        <v>0.05882352941</v>
      </c>
      <c r="AK45" s="1322"/>
      <c r="AL45" s="1322"/>
      <c r="AM45" s="1323"/>
    </row>
    <row r="46">
      <c r="B46" s="1314" t="str">
        <f>IFERROR(__xludf.DUMMYFUNCTION("""COMPUTED_VALUE"""),"ラジタ")</f>
        <v>ラジタ</v>
      </c>
      <c r="C46" s="1315">
        <f>IFERROR(__xludf.DUMMYFUNCTION("""COMPUTED_VALUE"""),1.0)</f>
        <v>1</v>
      </c>
      <c r="D46" s="1314" t="str">
        <f>IFERROR(__xludf.DUMMYFUNCTION("""COMPUTED_VALUE"""),"イラノ")</f>
        <v>イラノ</v>
      </c>
      <c r="E46" s="1316">
        <f>IFERROR(__xludf.DUMMYFUNCTION("""COMPUTED_VALUE"""),1.0)</f>
        <v>1</v>
      </c>
      <c r="F46" s="1314" t="str">
        <f>IFERROR(__xludf.DUMMYFUNCTION("""COMPUTED_VALUE"""),"巻き込み")</f>
        <v>巻き込み</v>
      </c>
      <c r="G46" s="1315">
        <f>IFERROR(__xludf.DUMMYFUNCTION("""COMPUTED_VALUE"""),1.0)</f>
        <v>1</v>
      </c>
      <c r="H46" s="1317" t="str">
        <f>IFERROR(__xludf.DUMMYFUNCTION("""COMPUTED_VALUE"""),"汚れ")</f>
        <v>汚れ</v>
      </c>
      <c r="I46" s="1318">
        <f>IFERROR(__xludf.DUMMYFUNCTION("""COMPUTED_VALUE"""),1.0)</f>
        <v>1</v>
      </c>
      <c r="J46" s="1319">
        <v>0.058823529411764705</v>
      </c>
      <c r="K46" s="1320" t="s">
        <v>957</v>
      </c>
      <c r="L46" s="1321">
        <f t="shared" si="5"/>
        <v>0</v>
      </c>
      <c r="O46" s="1292" t="s">
        <v>34</v>
      </c>
      <c r="P46" s="1292" t="s">
        <v>958</v>
      </c>
      <c r="Q46" s="1292" t="s">
        <v>31</v>
      </c>
      <c r="R46" s="1293"/>
      <c r="S46" s="1292" t="s">
        <v>947</v>
      </c>
      <c r="T46" s="1292" t="s">
        <v>950</v>
      </c>
      <c r="U46" s="1294" t="s">
        <v>959</v>
      </c>
      <c r="W46" s="1293" t="str">
        <f>'🔵クレーム'!C37</f>
        <v>2月</v>
      </c>
      <c r="X46" s="1293" t="str">
        <f>'🔵クレーム'!D37</f>
        <v>17日</v>
      </c>
      <c r="Y46" s="1292" t="str">
        <f>'🔵クレーム'!I37</f>
        <v>その他</v>
      </c>
      <c r="Z46" s="1293" t="str">
        <f>'🔵クレーム'!J37</f>
        <v/>
      </c>
      <c r="AA46" s="1293" t="str">
        <f>'🔵クレーム'!K37</f>
        <v>ラディカ</v>
      </c>
      <c r="AB46" s="1293" t="str">
        <f>'🔵クレーム'!L37</f>
        <v>サムジャナ</v>
      </c>
      <c r="AC46" s="1295" t="str">
        <f>'🔵クレーム'!N37</f>
        <v>AC,TVのリモコンが床に落ちており、マグカップがUBに移動していた。</v>
      </c>
      <c r="AE46" s="23" t="str">
        <f>IFERROR(__xludf.DUMMYFUNCTION("""COMPUTED_VALUE"""),"クリスナ")</f>
        <v>クリスナ</v>
      </c>
      <c r="AF46" s="23" t="str">
        <f>IFERROR(__xludf.DUMMYFUNCTION("""COMPUTED_VALUE"""),"汚れ")</f>
        <v>汚れ</v>
      </c>
      <c r="AG46" s="23">
        <f>IFERROR(__xludf.DUMMYFUNCTION("""COMPUTED_VALUE"""),1.0)</f>
        <v>1</v>
      </c>
      <c r="AH46" s="274">
        <f>IFERROR(__xludf.DUMMYFUNCTION("""COMPUTED_VALUE"""),0.058823529411764705)</f>
        <v>0.05882352941</v>
      </c>
      <c r="AK46" s="1322"/>
      <c r="AL46" s="1322"/>
      <c r="AM46" s="1323"/>
    </row>
    <row r="47">
      <c r="B47" s="1314" t="str">
        <f>IFERROR(__xludf.DUMMYFUNCTION("""COMPUTED_VALUE"""),"ラリー")</f>
        <v>ラリー</v>
      </c>
      <c r="C47" s="1315">
        <f>IFERROR(__xludf.DUMMYFUNCTION("""COMPUTED_VALUE"""),1.0)</f>
        <v>1</v>
      </c>
      <c r="D47" s="1314" t="str">
        <f>IFERROR(__xludf.DUMMYFUNCTION("""COMPUTED_VALUE"""),"ルドラ")</f>
        <v>ルドラ</v>
      </c>
      <c r="E47" s="1316">
        <f>IFERROR(__xludf.DUMMYFUNCTION("""COMPUTED_VALUE"""),1.0)</f>
        <v>1</v>
      </c>
      <c r="F47" s="1324" t="str">
        <f>IFERROR(__xludf.DUMMYFUNCTION("""COMPUTED_VALUE"""),"汚れ")</f>
        <v>汚れ</v>
      </c>
      <c r="G47" s="1325">
        <f>IFERROR(__xludf.DUMMYFUNCTION("""COMPUTED_VALUE"""),1.0)</f>
        <v>1</v>
      </c>
      <c r="H47" s="1317"/>
      <c r="I47" s="1318"/>
      <c r="J47" s="1319" t="s">
        <v>903</v>
      </c>
      <c r="K47" s="1320" t="s">
        <v>960</v>
      </c>
      <c r="L47" s="1321">
        <f t="shared" si="5"/>
        <v>0</v>
      </c>
      <c r="O47" s="1292" t="s">
        <v>34</v>
      </c>
      <c r="P47" s="1292" t="s">
        <v>958</v>
      </c>
      <c r="Q47" s="1292" t="s">
        <v>39</v>
      </c>
      <c r="R47" s="1293"/>
      <c r="S47" s="1292" t="s">
        <v>103</v>
      </c>
      <c r="T47" s="1292" t="s">
        <v>961</v>
      </c>
      <c r="U47" s="1294" t="s">
        <v>962</v>
      </c>
      <c r="W47" s="1293" t="str">
        <f>'🔵クレーム'!C38</f>
        <v>2月</v>
      </c>
      <c r="X47" s="1293" t="str">
        <f>'🔵クレーム'!D38</f>
        <v>18日</v>
      </c>
      <c r="Y47" s="1292" t="str">
        <f>'🔵クレーム'!I38</f>
        <v>残置</v>
      </c>
      <c r="Z47" s="1293" t="str">
        <f>'🔵クレーム'!J38</f>
        <v/>
      </c>
      <c r="AA47" s="1293" t="str">
        <f>'🔵クレーム'!K38</f>
        <v>谷口</v>
      </c>
      <c r="AB47" s="1293" t="str">
        <f>'🔵クレーム'!L38</f>
        <v>ラリー</v>
      </c>
      <c r="AC47" s="1295" t="str">
        <f>'🔵クレーム'!N38</f>
        <v>冷蔵庫に前泊者の忘れ物(パック)があった。</v>
      </c>
      <c r="AE47" s="23" t="str">
        <f>IFERROR(__xludf.DUMMYFUNCTION("""COMPUTED_VALUE"""),"グルン")</f>
        <v>グルン</v>
      </c>
      <c r="AH47" s="274"/>
      <c r="AK47" s="1322"/>
      <c r="AL47" s="1322"/>
      <c r="AM47" s="1323"/>
    </row>
    <row r="48">
      <c r="B48" s="1314"/>
      <c r="C48" s="1315"/>
      <c r="D48" s="1314"/>
      <c r="E48" s="1316"/>
      <c r="F48" s="1324"/>
      <c r="G48" s="1325"/>
      <c r="H48" s="1317"/>
      <c r="I48" s="1318"/>
      <c r="J48" s="1319" t="s">
        <v>903</v>
      </c>
      <c r="K48" s="1320" t="s">
        <v>963</v>
      </c>
      <c r="L48" s="1321">
        <f t="shared" si="5"/>
        <v>0</v>
      </c>
      <c r="O48" s="1292" t="s">
        <v>34</v>
      </c>
      <c r="P48" s="1292" t="s">
        <v>958</v>
      </c>
      <c r="Q48" s="1292" t="s">
        <v>42</v>
      </c>
      <c r="R48" s="1293"/>
      <c r="S48" s="1292" t="s">
        <v>111</v>
      </c>
      <c r="T48" s="1292"/>
      <c r="U48" s="1294" t="s">
        <v>964</v>
      </c>
      <c r="W48" s="1293" t="str">
        <f>'🔵クレーム'!C39</f>
        <v>2月</v>
      </c>
      <c r="X48" s="1293" t="str">
        <f>'🔵クレーム'!D39</f>
        <v>19日</v>
      </c>
      <c r="Y48" s="1292" t="str">
        <f>'🔵クレーム'!I39</f>
        <v>巻き込み</v>
      </c>
      <c r="Z48" s="1293" t="str">
        <f>'🔵クレーム'!J39</f>
        <v/>
      </c>
      <c r="AA48" s="1293" t="str">
        <f>'🔵クレーム'!K39</f>
        <v>ジェ</v>
      </c>
      <c r="AB48" s="1293" t="str">
        <f>'🔵クレーム'!L39</f>
        <v/>
      </c>
      <c r="AC48" s="1295" t="str">
        <f>'🔵クレーム'!N39</f>
        <v>下着巻き込み</v>
      </c>
      <c r="AE48" s="23" t="str">
        <f>IFERROR(__xludf.DUMMYFUNCTION("""COMPUTED_VALUE"""),"ゴマ")</f>
        <v>ゴマ</v>
      </c>
      <c r="AH48" s="274"/>
      <c r="AK48" s="1322"/>
      <c r="AL48" s="1322"/>
      <c r="AM48" s="1323"/>
    </row>
    <row r="49">
      <c r="B49" s="1314"/>
      <c r="C49" s="1315"/>
      <c r="D49" s="1314"/>
      <c r="E49" s="1316"/>
      <c r="F49" s="1324"/>
      <c r="G49" s="1325"/>
      <c r="H49" s="1317"/>
      <c r="I49" s="1318"/>
      <c r="J49" s="1319" t="s">
        <v>903</v>
      </c>
      <c r="K49" s="1320" t="s">
        <v>31</v>
      </c>
      <c r="L49" s="1321">
        <f t="shared" si="5"/>
        <v>1</v>
      </c>
      <c r="O49" s="1292" t="s">
        <v>34</v>
      </c>
      <c r="P49" s="1292" t="s">
        <v>152</v>
      </c>
      <c r="Q49" s="1292" t="s">
        <v>40</v>
      </c>
      <c r="R49" s="1293"/>
      <c r="S49" s="1292" t="s">
        <v>103</v>
      </c>
      <c r="T49" s="1292" t="s">
        <v>137</v>
      </c>
      <c r="U49" s="1294" t="s">
        <v>965</v>
      </c>
      <c r="W49" s="1293" t="str">
        <f>'🔵クレーム'!C40</f>
        <v>2月</v>
      </c>
      <c r="X49" s="1293" t="str">
        <f>'🔵クレーム'!D40</f>
        <v>18日</v>
      </c>
      <c r="Y49" s="1292" t="str">
        <f>'🔵クレーム'!I40</f>
        <v/>
      </c>
      <c r="Z49" s="1293" t="str">
        <f>'🔵クレーム'!J40</f>
        <v>口コミ</v>
      </c>
      <c r="AA49" s="1293" t="str">
        <f>'🔵クレーム'!K40</f>
        <v/>
      </c>
      <c r="AB49" s="1293" t="str">
        <f>'🔵クレーム'!L40</f>
        <v/>
      </c>
      <c r="AC49" s="1295" t="str">
        <f>'🔵クレーム'!N40</f>
        <v>部屋の清掃がいまいち</v>
      </c>
      <c r="AE49" s="23" t="str">
        <f>IFERROR(__xludf.DUMMYFUNCTION("""COMPUTED_VALUE"""),"サムジャナ")</f>
        <v>サムジャナ</v>
      </c>
      <c r="AH49" s="274"/>
      <c r="AK49" s="1322"/>
      <c r="AL49" s="1322"/>
      <c r="AM49" s="1323"/>
    </row>
    <row r="50" collapsed="1">
      <c r="B50" s="1314"/>
      <c r="C50" s="1315"/>
      <c r="D50" s="1314"/>
      <c r="E50" s="1316"/>
      <c r="F50" s="1324"/>
      <c r="G50" s="1325"/>
      <c r="H50" s="1317"/>
      <c r="I50" s="1318"/>
      <c r="J50" s="1319" t="s">
        <v>903</v>
      </c>
      <c r="K50" s="1326" t="s">
        <v>303</v>
      </c>
      <c r="L50" s="1327">
        <f t="shared" si="5"/>
        <v>4</v>
      </c>
      <c r="O50" s="1292" t="s">
        <v>34</v>
      </c>
      <c r="P50" s="1292" t="s">
        <v>161</v>
      </c>
      <c r="Q50" s="1292" t="s">
        <v>39</v>
      </c>
      <c r="R50" s="1293"/>
      <c r="S50" s="1292" t="s">
        <v>947</v>
      </c>
      <c r="T50" s="1292" t="s">
        <v>948</v>
      </c>
      <c r="U50" s="1294" t="s">
        <v>966</v>
      </c>
      <c r="W50" s="1293" t="str">
        <f>'🔵クレーム'!C41</f>
        <v>2月</v>
      </c>
      <c r="X50" s="1293" t="str">
        <f>'🔵クレーム'!D41</f>
        <v>17日</v>
      </c>
      <c r="Y50" s="1292" t="str">
        <f>'🔵クレーム'!I41</f>
        <v/>
      </c>
      <c r="Z50" s="1293" t="str">
        <f>'🔵クレーム'!J41</f>
        <v>口コミ</v>
      </c>
      <c r="AA50" s="1293" t="str">
        <f>'🔵クレーム'!K41</f>
        <v/>
      </c>
      <c r="AB50" s="1293" t="str">
        <f>'🔵クレーム'!L41</f>
        <v/>
      </c>
      <c r="AC50" s="1295" t="str">
        <f>'🔵クレーム'!N41</f>
        <v>机の下に前泊者のゴミあり</v>
      </c>
      <c r="AE50" s="23" t="str">
        <f>IFERROR(__xludf.DUMMYFUNCTION("""COMPUTED_VALUE"""),"サルスティ")</f>
        <v>サルスティ</v>
      </c>
      <c r="AH50" s="274"/>
      <c r="AK50" s="1322"/>
      <c r="AL50" s="1322"/>
      <c r="AM50" s="1323"/>
    </row>
    <row r="51" hidden="1" outlineLevel="1">
      <c r="B51" s="1314"/>
      <c r="C51" s="1315"/>
      <c r="D51" s="1314"/>
      <c r="E51" s="1316"/>
      <c r="F51" s="1324"/>
      <c r="G51" s="1325"/>
      <c r="H51" s="1317"/>
      <c r="I51" s="1318"/>
      <c r="J51" s="1319" t="s">
        <v>903</v>
      </c>
      <c r="K51" s="1282"/>
      <c r="L51" s="1282"/>
      <c r="O51" s="1292" t="s">
        <v>34</v>
      </c>
      <c r="P51" s="1292" t="s">
        <v>207</v>
      </c>
      <c r="Q51" s="1292" t="s">
        <v>41</v>
      </c>
      <c r="R51" s="1293"/>
      <c r="S51" s="1292" t="s">
        <v>111</v>
      </c>
      <c r="T51" s="1292" t="s">
        <v>103</v>
      </c>
      <c r="U51" s="1294" t="s">
        <v>967</v>
      </c>
      <c r="W51" s="1293" t="str">
        <f>'🔵クレーム'!C42</f>
        <v>2月</v>
      </c>
      <c r="X51" s="1293" t="str">
        <f>'🔵クレーム'!D42</f>
        <v>23日</v>
      </c>
      <c r="Y51" s="1292" t="str">
        <f>'🔵クレーム'!I42</f>
        <v/>
      </c>
      <c r="Z51" s="1293" t="str">
        <f>'🔵クレーム'!J42</f>
        <v>口コミ</v>
      </c>
      <c r="AA51" s="1293" t="str">
        <f>'🔵クレーム'!K42</f>
        <v/>
      </c>
      <c r="AB51" s="1293" t="str">
        <f>'🔵クレーム'!L42</f>
        <v/>
      </c>
      <c r="AC51" s="1295" t="str">
        <f>'🔵クレーム'!N42</f>
        <v>ガウンに髪の毛</v>
      </c>
      <c r="AE51" s="23" t="str">
        <f>IFERROR(__xludf.DUMMYFUNCTION("""COMPUTED_VALUE"""),"サルミラ")</f>
        <v>サルミラ</v>
      </c>
      <c r="AH51" s="274"/>
      <c r="AK51" s="1322"/>
      <c r="AL51" s="1322"/>
      <c r="AM51" s="1323"/>
    </row>
    <row r="52" hidden="1" outlineLevel="1">
      <c r="B52" s="1314"/>
      <c r="C52" s="1315"/>
      <c r="D52" s="1314"/>
      <c r="E52" s="1316"/>
      <c r="F52" s="1324"/>
      <c r="G52" s="1325"/>
      <c r="H52" s="1317"/>
      <c r="I52" s="1318"/>
      <c r="J52" s="1319" t="s">
        <v>903</v>
      </c>
      <c r="K52" s="1282"/>
      <c r="L52" s="1282"/>
      <c r="O52" s="1292" t="s">
        <v>34</v>
      </c>
      <c r="P52" s="1292" t="s">
        <v>210</v>
      </c>
      <c r="Q52" s="1292" t="s">
        <v>40</v>
      </c>
      <c r="R52" s="1293"/>
      <c r="S52" s="1292" t="s">
        <v>111</v>
      </c>
      <c r="T52" s="1292" t="s">
        <v>640</v>
      </c>
      <c r="U52" s="1294" t="s">
        <v>968</v>
      </c>
      <c r="W52" s="1293" t="str">
        <f>'🔵クレーム'!C43</f>
        <v>2月</v>
      </c>
      <c r="X52" s="1293" t="str">
        <f>'🔵クレーム'!D43</f>
        <v>23日</v>
      </c>
      <c r="Y52" s="1292" t="str">
        <f>'🔵クレーム'!I43</f>
        <v>残置</v>
      </c>
      <c r="Z52" s="1293" t="str">
        <f>'🔵クレーム'!J43</f>
        <v/>
      </c>
      <c r="AA52" s="1293" t="str">
        <f>'🔵クレーム'!K43</f>
        <v>サムジャナ</v>
      </c>
      <c r="AB52" s="1293" t="str">
        <f>'🔵クレーム'!L43</f>
        <v>サンティ</v>
      </c>
      <c r="AC52" s="1295" t="str">
        <f>'🔵クレーム'!N43</f>
        <v>前泊者のワイシャツがワードローブ上に置きっぱなしだった。</v>
      </c>
      <c r="AE52" s="23" t="str">
        <f>IFERROR(__xludf.DUMMYFUNCTION("""COMPUTED_VALUE"""),"サンジタ")</f>
        <v>サンジタ</v>
      </c>
      <c r="AH52" s="274"/>
      <c r="AK52" s="1322"/>
    </row>
    <row r="53" hidden="1" outlineLevel="1">
      <c r="B53" s="1314"/>
      <c r="C53" s="1315"/>
      <c r="D53" s="1314"/>
      <c r="E53" s="1316"/>
      <c r="F53" s="1324"/>
      <c r="G53" s="1325"/>
      <c r="H53" s="1317"/>
      <c r="I53" s="1318"/>
      <c r="J53" s="1319" t="s">
        <v>903</v>
      </c>
      <c r="K53" s="1282"/>
      <c r="L53" s="1282"/>
      <c r="O53" s="1292" t="s">
        <v>34</v>
      </c>
      <c r="P53" s="1292" t="s">
        <v>792</v>
      </c>
      <c r="Q53" s="1292" t="s">
        <v>40</v>
      </c>
      <c r="R53" s="1293"/>
      <c r="S53" s="1292" t="s">
        <v>639</v>
      </c>
      <c r="T53" s="1292" t="s">
        <v>190</v>
      </c>
      <c r="U53" s="1294" t="s">
        <v>969</v>
      </c>
      <c r="W53" s="1293" t="str">
        <f>'🔵クレーム'!C44</f>
        <v>2月</v>
      </c>
      <c r="X53" s="1293" t="str">
        <f>'🔵クレーム'!D44</f>
        <v>27日</v>
      </c>
      <c r="Y53" s="1292" t="str">
        <f>'🔵クレーム'!I44</f>
        <v>髪の毛</v>
      </c>
      <c r="Z53" s="1293" t="str">
        <f>'🔵クレーム'!J44</f>
        <v/>
      </c>
      <c r="AA53" s="1293" t="str">
        <f>'🔵クレーム'!K44</f>
        <v>谷口</v>
      </c>
      <c r="AB53" s="1293" t="str">
        <f>'🔵クレーム'!L44</f>
        <v>ラジタ</v>
      </c>
      <c r="AC53" s="1295" t="str">
        <f>'🔵クレーム'!N44</f>
        <v>バスタブ内髪の毛</v>
      </c>
      <c r="AE53" s="23" t="str">
        <f>IFERROR(__xludf.DUMMYFUNCTION("""COMPUTED_VALUE"""),"サンジュ")</f>
        <v>サンジュ</v>
      </c>
      <c r="AH53" s="274"/>
    </row>
    <row r="54" hidden="1" outlineLevel="1">
      <c r="B54" s="1314"/>
      <c r="C54" s="1315"/>
      <c r="D54" s="1314"/>
      <c r="E54" s="1316"/>
      <c r="F54" s="1324"/>
      <c r="G54" s="1325"/>
      <c r="H54" s="1317"/>
      <c r="I54" s="1318"/>
      <c r="J54" s="1319" t="s">
        <v>903</v>
      </c>
      <c r="K54" s="1282"/>
      <c r="L54" s="1282"/>
      <c r="O54" s="1292" t="s">
        <v>34</v>
      </c>
      <c r="P54" s="1292" t="s">
        <v>792</v>
      </c>
      <c r="Q54" s="1292" t="s">
        <v>31</v>
      </c>
      <c r="R54" s="1293"/>
      <c r="S54" s="1292" t="s">
        <v>947</v>
      </c>
      <c r="T54" s="1292" t="s">
        <v>970</v>
      </c>
      <c r="U54" s="1294" t="s">
        <v>971</v>
      </c>
      <c r="W54" s="1293" t="str">
        <f>'🔵クレーム'!C45</f>
        <v>2月</v>
      </c>
      <c r="X54" s="1293" t="str">
        <f>'🔵クレーム'!D45</f>
        <v>27日</v>
      </c>
      <c r="Y54" s="1292" t="str">
        <f>'🔵クレーム'!I45</f>
        <v/>
      </c>
      <c r="Z54" s="1293" t="str">
        <f>'🔵クレーム'!J45</f>
        <v>口コミ</v>
      </c>
      <c r="AA54" s="1293" t="str">
        <f>'🔵クレーム'!K45</f>
        <v/>
      </c>
      <c r="AB54" s="1293" t="str">
        <f>'🔵クレーム'!L45</f>
        <v/>
      </c>
      <c r="AC54" s="1295" t="str">
        <f>'🔵クレーム'!N45</f>
        <v>トイレの水洗ノブが取れそう</v>
      </c>
      <c r="AE54" s="23" t="str">
        <f>IFERROR(__xludf.DUMMYFUNCTION("""COMPUTED_VALUE"""),"サンデア")</f>
        <v>サンデア</v>
      </c>
      <c r="AH54" s="274"/>
    </row>
    <row r="55" hidden="1" outlineLevel="1">
      <c r="B55" s="1314"/>
      <c r="C55" s="1315"/>
      <c r="D55" s="1324"/>
      <c r="E55" s="1321"/>
      <c r="F55" s="1324"/>
      <c r="G55" s="1325"/>
      <c r="H55" s="1317"/>
      <c r="I55" s="1318"/>
      <c r="J55" s="1319" t="s">
        <v>903</v>
      </c>
      <c r="K55" s="1282"/>
      <c r="L55" s="1282"/>
      <c r="O55" s="1292" t="s">
        <v>34</v>
      </c>
      <c r="P55" s="1292" t="s">
        <v>790</v>
      </c>
      <c r="Q55" s="1292" t="s">
        <v>41</v>
      </c>
      <c r="R55" s="1293"/>
      <c r="S55" s="1292"/>
      <c r="T55" s="1292" t="s">
        <v>972</v>
      </c>
      <c r="U55" s="1294" t="s">
        <v>973</v>
      </c>
      <c r="W55" s="1293" t="str">
        <f>'🔵クレーム'!C46</f>
        <v>3月</v>
      </c>
      <c r="X55" s="1293" t="str">
        <f>'🔵クレーム'!D46</f>
        <v>1日</v>
      </c>
      <c r="Y55" s="1292" t="str">
        <f>'🔵クレーム'!I46</f>
        <v/>
      </c>
      <c r="Z55" s="1293" t="str">
        <f>'🔵クレーム'!J46</f>
        <v>口コミ</v>
      </c>
      <c r="AA55" s="1293" t="str">
        <f>'🔵クレーム'!K46</f>
        <v/>
      </c>
      <c r="AB55" s="1293" t="str">
        <f>'🔵クレーム'!L46</f>
        <v/>
      </c>
      <c r="AC55" s="1295" t="str">
        <f>'🔵クレーム'!N46</f>
        <v>清掃道具入れのドアが開けっぱなし</v>
      </c>
      <c r="AE55" s="23" t="str">
        <f>IFERROR(__xludf.DUMMYFUNCTION("""COMPUTED_VALUE"""),"サンティ")</f>
        <v>サンティ</v>
      </c>
      <c r="AH55" s="274"/>
    </row>
    <row r="56" hidden="1" outlineLevel="1">
      <c r="B56" s="1314"/>
      <c r="C56" s="1315"/>
      <c r="D56" s="1324"/>
      <c r="E56" s="1321"/>
      <c r="F56" s="1324"/>
      <c r="G56" s="1325"/>
      <c r="H56" s="1317"/>
      <c r="I56" s="1318"/>
      <c r="J56" s="1319" t="s">
        <v>903</v>
      </c>
      <c r="K56" s="1282"/>
      <c r="L56" s="1282"/>
      <c r="O56" s="1292" t="s">
        <v>55</v>
      </c>
      <c r="P56" s="1292" t="s">
        <v>184</v>
      </c>
      <c r="Q56" s="1292" t="s">
        <v>41</v>
      </c>
      <c r="R56" s="1293"/>
      <c r="S56" s="1292" t="s">
        <v>103</v>
      </c>
      <c r="T56" s="1292" t="s">
        <v>974</v>
      </c>
      <c r="U56" s="1294" t="s">
        <v>975</v>
      </c>
      <c r="W56" s="1293" t="str">
        <f>'🔵クレーム'!C47</f>
        <v>3月</v>
      </c>
      <c r="X56" s="1293" t="str">
        <f>'🔵クレーム'!D47</f>
        <v>5日</v>
      </c>
      <c r="Y56" s="1292" t="str">
        <f>'🔵クレーム'!I47</f>
        <v>残置</v>
      </c>
      <c r="Z56" s="1293" t="str">
        <f>'🔵クレーム'!J47</f>
        <v/>
      </c>
      <c r="AA56" s="1293" t="str">
        <f>'🔵クレーム'!K47</f>
        <v>ジェ</v>
      </c>
      <c r="AB56" s="1293" t="str">
        <f>'🔵クレーム'!L47</f>
        <v>モハン</v>
      </c>
      <c r="AC56" s="1295" t="str">
        <f>'🔵クレーム'!N47</f>
        <v>前泊者のピアス落ちてた</v>
      </c>
      <c r="AE56" s="23" t="str">
        <f>IFERROR(__xludf.DUMMYFUNCTION("""COMPUTED_VALUE"""),"ジェ")</f>
        <v>ジェ</v>
      </c>
      <c r="AH56" s="274"/>
    </row>
    <row r="57" hidden="1" outlineLevel="1">
      <c r="B57" s="1314"/>
      <c r="C57" s="1315"/>
      <c r="D57" s="1324"/>
      <c r="E57" s="1321"/>
      <c r="F57" s="1324"/>
      <c r="G57" s="1325"/>
      <c r="H57" s="1317"/>
      <c r="I57" s="1318"/>
      <c r="J57" s="1319" t="s">
        <v>903</v>
      </c>
      <c r="K57" s="1282"/>
      <c r="L57" s="1282"/>
      <c r="O57" s="1292" t="s">
        <v>55</v>
      </c>
      <c r="P57" s="1292" t="s">
        <v>976</v>
      </c>
      <c r="Q57" s="1292" t="s">
        <v>41</v>
      </c>
      <c r="R57" s="1293"/>
      <c r="S57" s="1292" t="s">
        <v>639</v>
      </c>
      <c r="T57" s="1292" t="s">
        <v>197</v>
      </c>
      <c r="U57" s="1294" t="s">
        <v>977</v>
      </c>
      <c r="W57" s="1293" t="str">
        <f>'🔵クレーム'!C48</f>
        <v>3月</v>
      </c>
      <c r="X57" s="1293" t="str">
        <f>'🔵クレーム'!D48</f>
        <v>6日</v>
      </c>
      <c r="Y57" s="1292" t="str">
        <f>'🔵クレーム'!I48</f>
        <v/>
      </c>
      <c r="Z57" s="1293" t="str">
        <f>'🔵クレーム'!J48</f>
        <v>口コミ</v>
      </c>
      <c r="AA57" s="1293" t="str">
        <f>'🔵クレーム'!K48</f>
        <v/>
      </c>
      <c r="AB57" s="1293" t="str">
        <f>'🔵クレーム'!L48</f>
        <v/>
      </c>
      <c r="AC57" s="1295" t="str">
        <f>'🔵クレーム'!N48</f>
        <v>冷蔵庫の中に髪の毛</v>
      </c>
      <c r="AE57" s="23" t="str">
        <f>IFERROR(__xludf.DUMMYFUNCTION("""COMPUTED_VALUE"""),"ジェイ")</f>
        <v>ジェイ</v>
      </c>
      <c r="AH57" s="274"/>
    </row>
    <row r="58" hidden="1" outlineLevel="1">
      <c r="B58" s="1314"/>
      <c r="C58" s="1315"/>
      <c r="D58" s="1324"/>
      <c r="E58" s="1321"/>
      <c r="F58" s="1324"/>
      <c r="G58" s="1325"/>
      <c r="H58" s="1317"/>
      <c r="I58" s="1318"/>
      <c r="J58" s="1319" t="s">
        <v>903</v>
      </c>
      <c r="K58" s="1282"/>
      <c r="L58" s="1282"/>
      <c r="O58" s="1292" t="s">
        <v>55</v>
      </c>
      <c r="P58" s="1292" t="s">
        <v>135</v>
      </c>
      <c r="Q58" s="1292" t="s">
        <v>40</v>
      </c>
      <c r="R58" s="1293"/>
      <c r="S58" s="1292" t="s">
        <v>584</v>
      </c>
      <c r="T58" s="1292" t="s">
        <v>494</v>
      </c>
      <c r="U58" s="1294" t="s">
        <v>978</v>
      </c>
      <c r="W58" s="1293" t="str">
        <f>'🔵クレーム'!C49</f>
        <v>3月</v>
      </c>
      <c r="X58" s="1293" t="str">
        <f>'🔵クレーム'!D49</f>
        <v>11日</v>
      </c>
      <c r="Y58" s="1292" t="str">
        <f>'🔵クレーム'!I49</f>
        <v>髪の毛</v>
      </c>
      <c r="Z58" s="1293" t="str">
        <f>'🔵クレーム'!J49</f>
        <v/>
      </c>
      <c r="AA58" s="1293" t="str">
        <f>'🔵クレーム'!K49</f>
        <v>ジャムナ</v>
      </c>
      <c r="AB58" s="1293" t="str">
        <f>'🔵クレーム'!L49</f>
        <v>プスカル</v>
      </c>
      <c r="AC58" s="1295" t="str">
        <f>'🔵クレーム'!N49</f>
        <v>UBの壁に髪の毛が付いたままだった</v>
      </c>
      <c r="AE58" s="23" t="str">
        <f>IFERROR(__xludf.DUMMYFUNCTION("""COMPUTED_VALUE"""),"シタ")</f>
        <v>シタ</v>
      </c>
      <c r="AH58" s="274"/>
    </row>
    <row r="59" hidden="1" outlineLevel="1">
      <c r="B59" s="1314"/>
      <c r="C59" s="1315"/>
      <c r="D59" s="1324"/>
      <c r="E59" s="1321"/>
      <c r="F59" s="1324"/>
      <c r="G59" s="1325"/>
      <c r="H59" s="1317"/>
      <c r="I59" s="1318"/>
      <c r="J59" s="1319" t="s">
        <v>903</v>
      </c>
      <c r="K59" s="1282"/>
      <c r="L59" s="1282"/>
      <c r="O59" s="1292" t="s">
        <v>55</v>
      </c>
      <c r="P59" s="1292" t="s">
        <v>958</v>
      </c>
      <c r="Q59" s="1292" t="s">
        <v>39</v>
      </c>
      <c r="R59" s="1293"/>
      <c r="S59" s="1292" t="s">
        <v>111</v>
      </c>
      <c r="T59" s="1292" t="s">
        <v>489</v>
      </c>
      <c r="U59" s="1294" t="s">
        <v>979</v>
      </c>
      <c r="W59" s="1293" t="str">
        <f>'🔵クレーム'!C50</f>
        <v>3月</v>
      </c>
      <c r="X59" s="1293" t="str">
        <f>'🔵クレーム'!D50</f>
        <v>11日</v>
      </c>
      <c r="Y59" s="1292" t="str">
        <f>'🔵クレーム'!I50</f>
        <v>汚れ</v>
      </c>
      <c r="Z59" s="1293" t="str">
        <f>'🔵クレーム'!J50</f>
        <v>口コミ</v>
      </c>
      <c r="AA59" s="1293" t="str">
        <f>'🔵クレーム'!K50</f>
        <v>エマ</v>
      </c>
      <c r="AB59" s="1293" t="str">
        <f>'🔵クレーム'!L50</f>
        <v>アディカリ</v>
      </c>
      <c r="AC59" s="1295" t="str">
        <f>'🔵クレーム'!N50</f>
        <v>鏡に水滴のあと、汚れUB内壁に長い髪の毛がついていた</v>
      </c>
      <c r="AE59" s="23" t="str">
        <f>IFERROR(__xludf.DUMMYFUNCTION("""COMPUTED_VALUE"""),"ジャスミン")</f>
        <v>ジャスミン</v>
      </c>
      <c r="AH59" s="274"/>
    </row>
    <row r="60" hidden="1" outlineLevel="1">
      <c r="B60" s="1314"/>
      <c r="C60" s="1315"/>
      <c r="D60" s="1324"/>
      <c r="E60" s="1321"/>
      <c r="F60" s="1324"/>
      <c r="G60" s="1325"/>
      <c r="H60" s="1317"/>
      <c r="I60" s="1318"/>
      <c r="J60" s="1319" t="s">
        <v>903</v>
      </c>
      <c r="K60" s="1282"/>
      <c r="L60" s="1282"/>
      <c r="O60" s="1292" t="s">
        <v>55</v>
      </c>
      <c r="P60" s="1292" t="s">
        <v>980</v>
      </c>
      <c r="Q60" s="1292" t="s">
        <v>39</v>
      </c>
      <c r="R60" s="1293"/>
      <c r="S60" s="1292" t="s">
        <v>639</v>
      </c>
      <c r="T60" s="1292" t="s">
        <v>190</v>
      </c>
      <c r="U60" s="1294" t="s">
        <v>981</v>
      </c>
      <c r="W60" s="1293" t="str">
        <f>'🔵クレーム'!C51</f>
        <v>3月</v>
      </c>
      <c r="X60" s="1293" t="str">
        <f>'🔵クレーム'!D51</f>
        <v>16日</v>
      </c>
      <c r="Y60" s="1292" t="str">
        <f>'🔵クレーム'!I51</f>
        <v>清掃不備</v>
      </c>
      <c r="Z60" s="1293" t="str">
        <f>'🔵クレーム'!J51</f>
        <v/>
      </c>
      <c r="AA60" s="1293" t="str">
        <f>'🔵クレーム'!K51</f>
        <v>ジャムナ</v>
      </c>
      <c r="AB60" s="1293" t="str">
        <f>'🔵クレーム'!L51</f>
        <v>ソバ</v>
      </c>
      <c r="AC60" s="1295" t="str">
        <f>'🔵クレーム'!N51</f>
        <v>デスク下のカーペットが濡れている</v>
      </c>
      <c r="AE60" s="23" t="str">
        <f>IFERROR(__xludf.DUMMYFUNCTION("""COMPUTED_VALUE"""),"ジャムナ")</f>
        <v>ジャムナ</v>
      </c>
      <c r="AH60" s="274"/>
    </row>
    <row r="61" hidden="1" outlineLevel="1">
      <c r="B61" s="1314"/>
      <c r="C61" s="1315"/>
      <c r="D61" s="1324"/>
      <c r="E61" s="1321"/>
      <c r="F61" s="1324"/>
      <c r="G61" s="1325"/>
      <c r="H61" s="1317"/>
      <c r="I61" s="1318"/>
      <c r="J61" s="1319" t="s">
        <v>903</v>
      </c>
      <c r="K61" s="1282"/>
      <c r="L61" s="1282"/>
      <c r="O61" s="1292" t="s">
        <v>55</v>
      </c>
      <c r="P61" s="1292" t="s">
        <v>161</v>
      </c>
      <c r="Q61" s="1292" t="s">
        <v>43</v>
      </c>
      <c r="R61" s="1293"/>
      <c r="S61" s="1292" t="s">
        <v>982</v>
      </c>
      <c r="T61" s="1292" t="s">
        <v>157</v>
      </c>
      <c r="U61" s="1294" t="s">
        <v>983</v>
      </c>
      <c r="W61" s="1293" t="str">
        <f>'🔵クレーム'!C52</f>
        <v>3月</v>
      </c>
      <c r="X61" s="1293" t="str">
        <f>'🔵クレーム'!D52</f>
        <v>21日</v>
      </c>
      <c r="Y61" s="1292" t="str">
        <f>'🔵クレーム'!I52</f>
        <v>ドア閉め忘れ</v>
      </c>
      <c r="Z61" s="1293" t="str">
        <f>'🔵クレーム'!J52</f>
        <v/>
      </c>
      <c r="AA61" s="1293" t="str">
        <f>'🔵クレーム'!K52</f>
        <v>ラジタ</v>
      </c>
      <c r="AB61" s="1293" t="str">
        <f>'🔵クレーム'!L52</f>
        <v/>
      </c>
      <c r="AC61" s="1295" t="str">
        <f>'🔵クレーム'!N52</f>
        <v>ドアストッパー挟まっててドアあいていた</v>
      </c>
      <c r="AE61" s="23" t="str">
        <f>IFERROR(__xludf.DUMMYFUNCTION("""COMPUTED_VALUE"""),"シルジャナ")</f>
        <v>シルジャナ</v>
      </c>
      <c r="AH61" s="274"/>
    </row>
    <row r="62" hidden="1" outlineLevel="1">
      <c r="B62" s="1314"/>
      <c r="C62" s="1315"/>
      <c r="D62" s="1324"/>
      <c r="E62" s="1321"/>
      <c r="F62" s="1324"/>
      <c r="G62" s="1325"/>
      <c r="H62" s="1317"/>
      <c r="I62" s="1318"/>
      <c r="J62" s="1319" t="s">
        <v>903</v>
      </c>
      <c r="K62" s="1282"/>
      <c r="L62" s="1282"/>
      <c r="O62" s="1292" t="s">
        <v>55</v>
      </c>
      <c r="P62" s="1292" t="s">
        <v>161</v>
      </c>
      <c r="Q62" s="1292" t="s">
        <v>39</v>
      </c>
      <c r="R62" s="1293"/>
      <c r="S62" s="1292"/>
      <c r="T62" s="1292" t="s">
        <v>488</v>
      </c>
      <c r="U62" s="1294" t="s">
        <v>984</v>
      </c>
      <c r="W62" s="1293" t="str">
        <f>'🔵クレーム'!C53</f>
        <v>3月</v>
      </c>
      <c r="X62" s="1293" t="str">
        <f>'🔵クレーム'!D53</f>
        <v>25日</v>
      </c>
      <c r="Y62" s="1292" t="str">
        <f>'🔵クレーム'!I53</f>
        <v/>
      </c>
      <c r="Z62" s="1293" t="str">
        <f>'🔵クレーム'!J53</f>
        <v>口コミ</v>
      </c>
      <c r="AA62" s="1293" t="str">
        <f>'🔵クレーム'!K53</f>
        <v/>
      </c>
      <c r="AB62" s="1293" t="str">
        <f>'🔵クレーム'!L53</f>
        <v/>
      </c>
      <c r="AC62" s="1295" t="str">
        <f>'🔵クレーム'!N53</f>
        <v>2度寝しようとしていたけど、9時頃に話し声や物の音が大きかった</v>
      </c>
      <c r="AE62" s="23" t="str">
        <f>IFERROR(__xludf.DUMMYFUNCTION("""COMPUTED_VALUE"""),"ススマ")</f>
        <v>ススマ</v>
      </c>
      <c r="AH62" s="274"/>
    </row>
    <row r="63" hidden="1" outlineLevel="1">
      <c r="B63" s="1314"/>
      <c r="C63" s="1315"/>
      <c r="D63" s="1324"/>
      <c r="E63" s="1321"/>
      <c r="F63" s="1324"/>
      <c r="G63" s="1325"/>
      <c r="H63" s="1317"/>
      <c r="I63" s="1318"/>
      <c r="J63" s="1319" t="s">
        <v>903</v>
      </c>
      <c r="K63" s="1282"/>
      <c r="L63" s="1282"/>
      <c r="O63" s="1292" t="s">
        <v>57</v>
      </c>
      <c r="P63" s="1292" t="s">
        <v>958</v>
      </c>
      <c r="Q63" s="1292" t="s">
        <v>42</v>
      </c>
      <c r="R63" s="1293"/>
      <c r="S63" s="1292" t="s">
        <v>111</v>
      </c>
      <c r="T63" s="1292"/>
      <c r="U63" s="1294" t="s">
        <v>985</v>
      </c>
      <c r="W63" s="1293" t="str">
        <f>'🔵クレーム'!C54</f>
        <v>3月</v>
      </c>
      <c r="X63" s="1293" t="str">
        <f>'🔵クレーム'!D54</f>
        <v>26日</v>
      </c>
      <c r="Y63" s="1292" t="str">
        <f>'🔵クレーム'!I54</f>
        <v>清掃不備</v>
      </c>
      <c r="Z63" s="1293" t="str">
        <f>'🔵クレーム'!J54</f>
        <v/>
      </c>
      <c r="AA63" s="1293" t="str">
        <f>'🔵クレーム'!K54</f>
        <v>ラジタ</v>
      </c>
      <c r="AB63" s="1293" t="str">
        <f>'🔵クレーム'!L54</f>
        <v>サンティ</v>
      </c>
      <c r="AC63" s="1295" t="str">
        <f>'🔵クレーム'!N54</f>
        <v>湯船からゴミ（ホコリ）がわいてきた。シャワーカーテン臭い。</v>
      </c>
      <c r="AE63" s="23" t="str">
        <f>IFERROR(__xludf.DUMMYFUNCTION("""COMPUTED_VALUE"""),"スニタ")</f>
        <v>スニタ</v>
      </c>
      <c r="AH63" s="274"/>
    </row>
    <row r="64" hidden="1" outlineLevel="1">
      <c r="B64" s="1314"/>
      <c r="C64" s="1315"/>
      <c r="D64" s="1324"/>
      <c r="E64" s="1321"/>
      <c r="F64" s="1324"/>
      <c r="G64" s="1325"/>
      <c r="H64" s="1317"/>
      <c r="I64" s="1318"/>
      <c r="J64" s="1319" t="s">
        <v>903</v>
      </c>
      <c r="K64" s="1282"/>
      <c r="L64" s="1282"/>
      <c r="O64" s="1292" t="s">
        <v>57</v>
      </c>
      <c r="P64" s="1292" t="s">
        <v>980</v>
      </c>
      <c r="Q64" s="1292" t="s">
        <v>41</v>
      </c>
      <c r="R64" s="1293"/>
      <c r="S64" s="1292" t="s">
        <v>982</v>
      </c>
      <c r="T64" s="1292" t="s">
        <v>972</v>
      </c>
      <c r="U64" s="1294" t="s">
        <v>986</v>
      </c>
      <c r="W64" s="1293" t="str">
        <f>'🔵クレーム'!C55</f>
        <v>3月</v>
      </c>
      <c r="X64" s="1293" t="str">
        <f>'🔵クレーム'!D55</f>
        <v>27日</v>
      </c>
      <c r="Y64" s="1292" t="str">
        <f>'🔵クレーム'!I55</f>
        <v>残置</v>
      </c>
      <c r="Z64" s="1293" t="str">
        <f>'🔵クレーム'!J55</f>
        <v/>
      </c>
      <c r="AA64" s="1293" t="str">
        <f>'🔵クレーム'!K55</f>
        <v>ラディカ</v>
      </c>
      <c r="AB64" s="1293" t="str">
        <f>'🔵クレーム'!L55</f>
        <v>プスカル</v>
      </c>
      <c r="AC64" s="1295" t="str">
        <f>'🔵クレーム'!N55</f>
        <v>前泊者の忘れ物あった</v>
      </c>
      <c r="AE64" s="23" t="str">
        <f>IFERROR(__xludf.DUMMYFUNCTION("""COMPUTED_VALUE"""),"ディパク")</f>
        <v>ディパク</v>
      </c>
      <c r="AH64" s="274"/>
    </row>
    <row r="65" hidden="1" outlineLevel="1">
      <c r="B65" s="1314"/>
      <c r="C65" s="1315"/>
      <c r="D65" s="1324"/>
      <c r="E65" s="1321"/>
      <c r="F65" s="1324"/>
      <c r="G65" s="1325"/>
      <c r="H65" s="1317"/>
      <c r="I65" s="1318"/>
      <c r="J65" s="1319" t="s">
        <v>903</v>
      </c>
      <c r="K65" s="1282"/>
      <c r="L65" s="1282"/>
      <c r="O65" s="1292" t="s">
        <v>57</v>
      </c>
      <c r="P65" s="1292" t="s">
        <v>145</v>
      </c>
      <c r="Q65" s="1292" t="s">
        <v>42</v>
      </c>
      <c r="R65" s="1293"/>
      <c r="S65" s="1292" t="s">
        <v>831</v>
      </c>
      <c r="T65" s="1292" t="s">
        <v>950</v>
      </c>
      <c r="U65" s="1294" t="s">
        <v>987</v>
      </c>
      <c r="W65" s="1293" t="str">
        <f>'🔵クレーム'!C56</f>
        <v>3月</v>
      </c>
      <c r="X65" s="1293" t="str">
        <f>'🔵クレーム'!D56</f>
        <v>29日</v>
      </c>
      <c r="Y65" s="1292" t="str">
        <f>'🔵クレーム'!I56</f>
        <v>その他</v>
      </c>
      <c r="Z65" s="1293" t="str">
        <f>'🔵クレーム'!J56</f>
        <v/>
      </c>
      <c r="AA65" s="1293" t="str">
        <f>'🔵クレーム'!K56</f>
        <v>エマ</v>
      </c>
      <c r="AB65" s="1293" t="str">
        <f>'🔵クレーム'!L56</f>
        <v/>
      </c>
      <c r="AC65" s="1295" t="str">
        <f>'🔵クレーム'!N56</f>
        <v>タブレット押し間違い未点検部屋へ通してしまった</v>
      </c>
      <c r="AE65" s="23" t="str">
        <f>IFERROR(__xludf.DUMMYFUNCTION("""COMPUTED_VALUE"""),"デイパック")</f>
        <v>デイパック</v>
      </c>
      <c r="AH65" s="274"/>
    </row>
    <row r="66" hidden="1" outlineLevel="1">
      <c r="B66" s="1314"/>
      <c r="C66" s="1315"/>
      <c r="D66" s="1324"/>
      <c r="E66" s="1321"/>
      <c r="F66" s="1324"/>
      <c r="G66" s="1325"/>
      <c r="H66" s="1317"/>
      <c r="I66" s="1318"/>
      <c r="J66" s="1319" t="s">
        <v>903</v>
      </c>
      <c r="K66" s="1282"/>
      <c r="L66" s="1282"/>
      <c r="O66" s="1292" t="s">
        <v>57</v>
      </c>
      <c r="P66" s="1292" t="s">
        <v>145</v>
      </c>
      <c r="Q66" s="1292" t="s">
        <v>41</v>
      </c>
      <c r="R66" s="1293"/>
      <c r="S66" s="1292" t="s">
        <v>639</v>
      </c>
      <c r="T66" s="1292" t="s">
        <v>197</v>
      </c>
      <c r="U66" s="1294" t="s">
        <v>988</v>
      </c>
      <c r="W66" s="1293" t="str">
        <f>'🔵クレーム'!C57</f>
        <v/>
      </c>
      <c r="X66" s="1293" t="str">
        <f>'🔵クレーム'!D57</f>
        <v/>
      </c>
      <c r="Y66" s="1292" t="str">
        <f>'🔵クレーム'!I57</f>
        <v/>
      </c>
      <c r="Z66" s="1293" t="str">
        <f>'🔵クレーム'!J57</f>
        <v/>
      </c>
      <c r="AA66" s="1293" t="str">
        <f>'🔵クレーム'!K57</f>
        <v/>
      </c>
      <c r="AB66" s="1293" t="str">
        <f>'🔵クレーム'!L57</f>
        <v/>
      </c>
      <c r="AC66" s="1295" t="str">
        <f>'🔵クレーム'!N57</f>
        <v/>
      </c>
      <c r="AE66" s="23" t="str">
        <f>IFERROR(__xludf.DUMMYFUNCTION("""COMPUTED_VALUE"""),"ティラク")</f>
        <v>ティラク</v>
      </c>
      <c r="AH66" s="274"/>
    </row>
    <row r="67" hidden="1" outlineLevel="1">
      <c r="B67" s="1314"/>
      <c r="C67" s="1315"/>
      <c r="D67" s="1324"/>
      <c r="E67" s="1321"/>
      <c r="F67" s="1324"/>
      <c r="G67" s="1325"/>
      <c r="H67" s="1317"/>
      <c r="I67" s="1318"/>
      <c r="J67" s="1319" t="s">
        <v>903</v>
      </c>
      <c r="K67" s="1282"/>
      <c r="L67" s="1282"/>
      <c r="O67" s="1292" t="s">
        <v>57</v>
      </c>
      <c r="P67" s="1292" t="s">
        <v>156</v>
      </c>
      <c r="Q67" s="1292" t="s">
        <v>41</v>
      </c>
      <c r="R67" s="1293"/>
      <c r="S67" s="1292" t="s">
        <v>196</v>
      </c>
      <c r="T67" s="1292" t="s">
        <v>489</v>
      </c>
      <c r="U67" s="1294" t="s">
        <v>989</v>
      </c>
      <c r="W67" s="1293" t="str">
        <f>'🔵クレーム'!C58</f>
        <v/>
      </c>
      <c r="X67" s="1293" t="str">
        <f>'🔵クレーム'!D58</f>
        <v/>
      </c>
      <c r="Y67" s="1292" t="str">
        <f>'🔵クレーム'!I58</f>
        <v/>
      </c>
      <c r="Z67" s="1293" t="str">
        <f>'🔵クレーム'!J58</f>
        <v/>
      </c>
      <c r="AA67" s="1293" t="str">
        <f>'🔵クレーム'!K58</f>
        <v/>
      </c>
      <c r="AB67" s="1293" t="str">
        <f>'🔵クレーム'!L58</f>
        <v/>
      </c>
      <c r="AC67" s="1295" t="str">
        <f>'🔵クレーム'!N58</f>
        <v/>
      </c>
      <c r="AE67" s="23" t="str">
        <f>IFERROR(__xludf.DUMMYFUNCTION("""COMPUTED_VALUE"""),"ナバーロ")</f>
        <v>ナバーロ</v>
      </c>
      <c r="AH67" s="274"/>
    </row>
    <row r="68" hidden="1" outlineLevel="1">
      <c r="B68" s="1324"/>
      <c r="C68" s="1325"/>
      <c r="D68" s="1324"/>
      <c r="E68" s="1321"/>
      <c r="F68" s="1324"/>
      <c r="G68" s="1325"/>
      <c r="H68" s="1317"/>
      <c r="I68" s="1318"/>
      <c r="J68" s="1319" t="s">
        <v>903</v>
      </c>
      <c r="K68" s="1282"/>
      <c r="L68" s="1282"/>
      <c r="O68" s="1292" t="s">
        <v>57</v>
      </c>
      <c r="P68" s="1292" t="s">
        <v>156</v>
      </c>
      <c r="Q68" s="1292" t="s">
        <v>39</v>
      </c>
      <c r="R68" s="1293"/>
      <c r="S68" s="1292" t="s">
        <v>111</v>
      </c>
      <c r="T68" s="1292" t="s">
        <v>488</v>
      </c>
      <c r="U68" s="1294" t="s">
        <v>990</v>
      </c>
      <c r="W68" s="1293" t="str">
        <f>'🔵クレーム'!C59</f>
        <v/>
      </c>
      <c r="X68" s="1293" t="str">
        <f>'🔵クレーム'!D59</f>
        <v/>
      </c>
      <c r="Y68" s="1292" t="str">
        <f>'🔵クレーム'!I59</f>
        <v/>
      </c>
      <c r="Z68" s="1293" t="str">
        <f>'🔵クレーム'!J59</f>
        <v/>
      </c>
      <c r="AA68" s="1293" t="str">
        <f>'🔵クレーム'!K59</f>
        <v/>
      </c>
      <c r="AB68" s="1293" t="str">
        <f>'🔵クレーム'!L59</f>
        <v/>
      </c>
      <c r="AC68" s="1295" t="str">
        <f>'🔵クレーム'!N59</f>
        <v/>
      </c>
      <c r="AE68" s="23" t="str">
        <f>IFERROR(__xludf.DUMMYFUNCTION("""COMPUTED_VALUE"""),"ナビナ")</f>
        <v>ナビナ</v>
      </c>
      <c r="AH68" s="274"/>
    </row>
    <row r="69" hidden="1" outlineLevel="1">
      <c r="B69" s="1314"/>
      <c r="C69" s="1315"/>
      <c r="D69" s="1314"/>
      <c r="E69" s="1316"/>
      <c r="F69" s="1324"/>
      <c r="G69" s="1325"/>
      <c r="H69" s="1317"/>
      <c r="I69" s="1318"/>
      <c r="J69" s="1319" t="s">
        <v>903</v>
      </c>
      <c r="K69" s="1282"/>
      <c r="L69" s="1282"/>
      <c r="O69" s="1292" t="s">
        <v>57</v>
      </c>
      <c r="P69" s="1292" t="s">
        <v>177</v>
      </c>
      <c r="Q69" s="1292" t="s">
        <v>42</v>
      </c>
      <c r="R69" s="1293"/>
      <c r="S69" s="1292" t="s">
        <v>584</v>
      </c>
      <c r="T69" s="1292" t="s">
        <v>491</v>
      </c>
      <c r="U69" s="1294" t="s">
        <v>991</v>
      </c>
      <c r="W69" s="1293" t="str">
        <f>'🔵クレーム'!C60</f>
        <v/>
      </c>
      <c r="X69" s="1293" t="str">
        <f>'🔵クレーム'!D60</f>
        <v/>
      </c>
      <c r="Y69" s="1292" t="str">
        <f>'🔵クレーム'!I60</f>
        <v/>
      </c>
      <c r="Z69" s="1293" t="str">
        <f>'🔵クレーム'!J60</f>
        <v/>
      </c>
      <c r="AA69" s="1293" t="str">
        <f>'🔵クレーム'!K60</f>
        <v/>
      </c>
      <c r="AB69" s="1293" t="str">
        <f>'🔵クレーム'!L60</f>
        <v/>
      </c>
      <c r="AC69" s="1295" t="str">
        <f>'🔵クレーム'!N60</f>
        <v/>
      </c>
      <c r="AE69" s="23" t="str">
        <f>IFERROR(__xludf.DUMMYFUNCTION("""COMPUTED_VALUE"""),"バワニ")</f>
        <v>バワニ</v>
      </c>
      <c r="AH69" s="274"/>
    </row>
    <row r="70" hidden="1" outlineLevel="1">
      <c r="B70" s="1314"/>
      <c r="C70" s="1315"/>
      <c r="D70" s="1314"/>
      <c r="E70" s="1316"/>
      <c r="F70" s="1324"/>
      <c r="G70" s="1325"/>
      <c r="H70" s="1317"/>
      <c r="I70" s="1318"/>
      <c r="J70" s="1319" t="s">
        <v>903</v>
      </c>
      <c r="K70" s="1282"/>
      <c r="L70" s="1282"/>
      <c r="O70" s="1292" t="s">
        <v>57</v>
      </c>
      <c r="P70" s="1292" t="s">
        <v>214</v>
      </c>
      <c r="Q70" s="1292" t="s">
        <v>41</v>
      </c>
      <c r="R70" s="1293"/>
      <c r="S70" s="1292" t="s">
        <v>639</v>
      </c>
      <c r="T70" s="1292" t="s">
        <v>992</v>
      </c>
      <c r="U70" s="1294" t="s">
        <v>993</v>
      </c>
      <c r="W70" s="1293" t="str">
        <f>'🔵クレーム'!C61</f>
        <v/>
      </c>
      <c r="X70" s="1293" t="str">
        <f>'🔵クレーム'!D61</f>
        <v/>
      </c>
      <c r="Y70" s="1292" t="str">
        <f>'🔵クレーム'!I61</f>
        <v/>
      </c>
      <c r="Z70" s="1293" t="str">
        <f>'🔵クレーム'!J61</f>
        <v/>
      </c>
      <c r="AA70" s="1293" t="str">
        <f>'🔵クレーム'!K61</f>
        <v/>
      </c>
      <c r="AB70" s="1293" t="str">
        <f>'🔵クレーム'!L61</f>
        <v/>
      </c>
      <c r="AC70" s="1295" t="str">
        <f>'🔵クレーム'!N61</f>
        <v/>
      </c>
      <c r="AE70" s="23" t="str">
        <f>IFERROR(__xludf.DUMMYFUNCTION("""COMPUTED_VALUE"""),"ビマラ")</f>
        <v>ビマラ</v>
      </c>
      <c r="AH70" s="274"/>
    </row>
    <row r="71" hidden="1" outlineLevel="1">
      <c r="B71" s="1314"/>
      <c r="C71" s="1315"/>
      <c r="D71" s="1314"/>
      <c r="E71" s="1316"/>
      <c r="F71" s="1324"/>
      <c r="G71" s="1325"/>
      <c r="H71" s="1317"/>
      <c r="I71" s="1318"/>
      <c r="J71" s="1319" t="s">
        <v>903</v>
      </c>
      <c r="K71" s="1282"/>
      <c r="L71" s="1282"/>
      <c r="O71" s="1292" t="s">
        <v>59</v>
      </c>
      <c r="P71" s="1292" t="s">
        <v>184</v>
      </c>
      <c r="Q71" s="1292" t="s">
        <v>43</v>
      </c>
      <c r="R71" s="1293"/>
      <c r="S71" s="1292" t="s">
        <v>200</v>
      </c>
      <c r="T71" s="1292" t="s">
        <v>994</v>
      </c>
      <c r="U71" s="1294" t="s">
        <v>995</v>
      </c>
      <c r="W71" s="1293" t="str">
        <f>'🔵クレーム'!C62</f>
        <v/>
      </c>
      <c r="X71" s="1293" t="str">
        <f>'🔵クレーム'!D62</f>
        <v/>
      </c>
      <c r="Y71" s="1292" t="str">
        <f>'🔵クレーム'!I62</f>
        <v/>
      </c>
      <c r="Z71" s="1293" t="str">
        <f>'🔵クレーム'!J62</f>
        <v/>
      </c>
      <c r="AA71" s="1293" t="str">
        <f>'🔵クレーム'!K62</f>
        <v/>
      </c>
      <c r="AB71" s="1293" t="str">
        <f>'🔵クレーム'!L62</f>
        <v/>
      </c>
      <c r="AC71" s="1295" t="str">
        <f>'🔵クレーム'!N62</f>
        <v/>
      </c>
      <c r="AE71" s="23" t="str">
        <f>IFERROR(__xludf.DUMMYFUNCTION("""COMPUTED_VALUE"""),"プスカル")</f>
        <v>プスカル</v>
      </c>
      <c r="AH71" s="274"/>
    </row>
    <row r="72" hidden="1" outlineLevel="1">
      <c r="B72" s="1314"/>
      <c r="C72" s="1315"/>
      <c r="D72" s="1314"/>
      <c r="E72" s="1316"/>
      <c r="F72" s="1324"/>
      <c r="G72" s="1325"/>
      <c r="H72" s="1317"/>
      <c r="I72" s="1318"/>
      <c r="J72" s="1319" t="s">
        <v>903</v>
      </c>
      <c r="K72" s="1282"/>
      <c r="L72" s="1282"/>
      <c r="O72" s="1292" t="s">
        <v>59</v>
      </c>
      <c r="P72" s="1292" t="s">
        <v>996</v>
      </c>
      <c r="Q72" s="1292" t="s">
        <v>39</v>
      </c>
      <c r="R72" s="1293"/>
      <c r="S72" s="1292" t="s">
        <v>639</v>
      </c>
      <c r="T72" s="1292" t="s">
        <v>197</v>
      </c>
      <c r="U72" s="1294" t="s">
        <v>997</v>
      </c>
      <c r="W72" s="1293" t="str">
        <f>'🔵クレーム'!C63</f>
        <v/>
      </c>
      <c r="X72" s="1293" t="str">
        <f>'🔵クレーム'!D63</f>
        <v/>
      </c>
      <c r="Y72" s="1292" t="str">
        <f>'🔵クレーム'!I63</f>
        <v/>
      </c>
      <c r="Z72" s="1293" t="str">
        <f>'🔵クレーム'!J63</f>
        <v/>
      </c>
      <c r="AA72" s="1293" t="str">
        <f>'🔵クレーム'!K63</f>
        <v/>
      </c>
      <c r="AB72" s="1293" t="str">
        <f>'🔵クレーム'!L63</f>
        <v/>
      </c>
      <c r="AC72" s="1295" t="str">
        <f>'🔵クレーム'!N63</f>
        <v/>
      </c>
      <c r="AE72" s="23" t="str">
        <f>IFERROR(__xludf.DUMMYFUNCTION("""COMPUTED_VALUE"""),"プリタ")</f>
        <v>プリタ</v>
      </c>
      <c r="AH72" s="274"/>
    </row>
    <row r="73" hidden="1" outlineLevel="1">
      <c r="B73" s="1314"/>
      <c r="C73" s="1315"/>
      <c r="D73" s="1314"/>
      <c r="E73" s="1316"/>
      <c r="F73" s="1324"/>
      <c r="G73" s="1325"/>
      <c r="H73" s="1317"/>
      <c r="I73" s="1318"/>
      <c r="J73" s="1319" t="s">
        <v>903</v>
      </c>
      <c r="K73" s="1282"/>
      <c r="L73" s="1282"/>
      <c r="O73" s="1292" t="s">
        <v>59</v>
      </c>
      <c r="P73" s="1292" t="s">
        <v>942</v>
      </c>
      <c r="Q73" s="1292" t="s">
        <v>43</v>
      </c>
      <c r="R73" s="1293"/>
      <c r="S73" s="1292" t="s">
        <v>639</v>
      </c>
      <c r="T73" s="1292" t="s">
        <v>491</v>
      </c>
      <c r="U73" s="1294" t="s">
        <v>998</v>
      </c>
      <c r="W73" s="1293" t="str">
        <f>'🔵クレーム'!C64</f>
        <v/>
      </c>
      <c r="X73" s="1293" t="str">
        <f>'🔵クレーム'!D64</f>
        <v/>
      </c>
      <c r="Y73" s="1292" t="str">
        <f>'🔵クレーム'!I64</f>
        <v/>
      </c>
      <c r="Z73" s="1293" t="str">
        <f>'🔵クレーム'!J64</f>
        <v/>
      </c>
      <c r="AA73" s="1293" t="str">
        <f>'🔵クレーム'!K64</f>
        <v/>
      </c>
      <c r="AB73" s="1293" t="str">
        <f>'🔵クレーム'!L64</f>
        <v/>
      </c>
      <c r="AC73" s="1295" t="str">
        <f>'🔵クレーム'!N64</f>
        <v/>
      </c>
      <c r="AE73" s="23" t="str">
        <f>IFERROR(__xludf.DUMMYFUNCTION("""COMPUTED_VALUE"""),"マヤ")</f>
        <v>マヤ</v>
      </c>
      <c r="AH73" s="274"/>
    </row>
    <row r="74" hidden="1" outlineLevel="1">
      <c r="B74" s="1314"/>
      <c r="C74" s="1315"/>
      <c r="D74" s="1314"/>
      <c r="E74" s="1316"/>
      <c r="F74" s="1324"/>
      <c r="G74" s="1325"/>
      <c r="H74" s="1317"/>
      <c r="I74" s="1318"/>
      <c r="J74" s="1319" t="s">
        <v>903</v>
      </c>
      <c r="K74" s="1282"/>
      <c r="L74" s="1282"/>
      <c r="O74" s="1292" t="s">
        <v>61</v>
      </c>
      <c r="P74" s="1292" t="s">
        <v>152</v>
      </c>
      <c r="Q74" s="1292" t="s">
        <v>31</v>
      </c>
      <c r="R74" s="1293"/>
      <c r="S74" s="1292" t="s">
        <v>111</v>
      </c>
      <c r="T74" s="1292"/>
      <c r="U74" s="1294" t="s">
        <v>999</v>
      </c>
      <c r="W74" s="1293" t="str">
        <f>'🔵クレーム'!C65</f>
        <v/>
      </c>
      <c r="X74" s="1293" t="str">
        <f>'🔵クレーム'!D65</f>
        <v/>
      </c>
      <c r="Y74" s="1292" t="str">
        <f>'🔵クレーム'!I65</f>
        <v/>
      </c>
      <c r="Z74" s="1293" t="str">
        <f>'🔵クレーム'!J65</f>
        <v/>
      </c>
      <c r="AA74" s="1293" t="str">
        <f>'🔵クレーム'!K65</f>
        <v/>
      </c>
      <c r="AB74" s="1293" t="str">
        <f>'🔵クレーム'!L65</f>
        <v/>
      </c>
      <c r="AC74" s="1295" t="str">
        <f>'🔵クレーム'!N65</f>
        <v/>
      </c>
      <c r="AE74" s="23" t="str">
        <f>IFERROR(__xludf.DUMMYFUNCTION("""COMPUTED_VALUE"""),"モハン")</f>
        <v>モハン</v>
      </c>
      <c r="AH74" s="274"/>
    </row>
    <row r="75" hidden="1" outlineLevel="1">
      <c r="B75" s="1314"/>
      <c r="C75" s="1315"/>
      <c r="D75" s="1314"/>
      <c r="E75" s="1316"/>
      <c r="F75" s="1324"/>
      <c r="G75" s="1325"/>
      <c r="H75" s="1317"/>
      <c r="I75" s="1318"/>
      <c r="J75" s="1319" t="s">
        <v>903</v>
      </c>
      <c r="K75" s="1282"/>
      <c r="L75" s="1282"/>
      <c r="O75" s="1292" t="s">
        <v>61</v>
      </c>
      <c r="P75" s="1292" t="s">
        <v>152</v>
      </c>
      <c r="Q75" s="1292" t="s">
        <v>31</v>
      </c>
      <c r="R75" s="1293"/>
      <c r="S75" s="1292" t="s">
        <v>947</v>
      </c>
      <c r="T75" s="1292"/>
      <c r="U75" s="1294" t="s">
        <v>999</v>
      </c>
      <c r="W75" s="1293" t="str">
        <f>'🔵クレーム'!C66</f>
        <v/>
      </c>
      <c r="X75" s="1293" t="str">
        <f>'🔵クレーム'!D66</f>
        <v/>
      </c>
      <c r="Y75" s="1292" t="str">
        <f>'🔵クレーム'!I66</f>
        <v/>
      </c>
      <c r="Z75" s="1293" t="str">
        <f>'🔵クレーム'!J66</f>
        <v/>
      </c>
      <c r="AA75" s="1293" t="str">
        <f>'🔵クレーム'!K66</f>
        <v/>
      </c>
      <c r="AB75" s="1293" t="str">
        <f>'🔵クレーム'!L66</f>
        <v/>
      </c>
      <c r="AC75" s="1295" t="str">
        <f>'🔵クレーム'!N66</f>
        <v/>
      </c>
      <c r="AE75" s="23" t="str">
        <f>IFERROR(__xludf.DUMMYFUNCTION("""COMPUTED_VALUE"""),"ラジタ")</f>
        <v>ラジタ</v>
      </c>
      <c r="AH75" s="274"/>
    </row>
    <row r="76" hidden="1" outlineLevel="1">
      <c r="B76" s="1314"/>
      <c r="C76" s="1315"/>
      <c r="D76" s="1314"/>
      <c r="E76" s="1316"/>
      <c r="F76" s="1324"/>
      <c r="G76" s="1325"/>
      <c r="H76" s="1317"/>
      <c r="I76" s="1318"/>
      <c r="J76" s="1319" t="s">
        <v>903</v>
      </c>
      <c r="K76" s="1282"/>
      <c r="L76" s="1282"/>
      <c r="O76" s="1292" t="s">
        <v>61</v>
      </c>
      <c r="P76" s="1292" t="s">
        <v>152</v>
      </c>
      <c r="Q76" s="1292" t="s">
        <v>31</v>
      </c>
      <c r="R76" s="1293"/>
      <c r="S76" s="1292" t="s">
        <v>639</v>
      </c>
      <c r="T76" s="1292" t="s">
        <v>197</v>
      </c>
      <c r="U76" s="1294" t="s">
        <v>999</v>
      </c>
      <c r="W76" s="1293" t="str">
        <f>'🔵クレーム'!C67</f>
        <v/>
      </c>
      <c r="X76" s="1293" t="str">
        <f>'🔵クレーム'!D67</f>
        <v/>
      </c>
      <c r="Y76" s="1292" t="str">
        <f>'🔵クレーム'!I67</f>
        <v/>
      </c>
      <c r="Z76" s="1293" t="str">
        <f>'🔵クレーム'!J67</f>
        <v/>
      </c>
      <c r="AA76" s="1293" t="str">
        <f>'🔵クレーム'!K67</f>
        <v/>
      </c>
      <c r="AB76" s="1293" t="str">
        <f>'🔵クレーム'!L67</f>
        <v/>
      </c>
      <c r="AC76" s="1295" t="str">
        <f>'🔵クレーム'!N67</f>
        <v/>
      </c>
      <c r="AE76" s="23" t="str">
        <f>IFERROR(__xludf.DUMMYFUNCTION("""COMPUTED_VALUE"""),"ラリー")</f>
        <v>ラリー</v>
      </c>
      <c r="AH76" s="274"/>
    </row>
    <row r="77" hidden="1" outlineLevel="1">
      <c r="B77" s="1314"/>
      <c r="C77" s="1315"/>
      <c r="D77" s="1324"/>
      <c r="E77" s="1321"/>
      <c r="F77" s="1324"/>
      <c r="G77" s="1325"/>
      <c r="H77" s="1317"/>
      <c r="I77" s="1318"/>
      <c r="J77" s="1319" t="s">
        <v>903</v>
      </c>
      <c r="K77" s="1282"/>
      <c r="L77" s="1282"/>
      <c r="O77" s="1292" t="s">
        <v>61</v>
      </c>
      <c r="P77" s="1292" t="s">
        <v>156</v>
      </c>
      <c r="Q77" s="1292" t="s">
        <v>31</v>
      </c>
      <c r="R77" s="1293"/>
      <c r="S77" s="1292" t="s">
        <v>639</v>
      </c>
      <c r="T77" s="1292" t="s">
        <v>190</v>
      </c>
      <c r="U77" s="1294" t="s">
        <v>999</v>
      </c>
      <c r="W77" s="1293" t="str">
        <f>'🔵クレーム'!C68</f>
        <v/>
      </c>
      <c r="X77" s="1293" t="str">
        <f>'🔵クレーム'!D68</f>
        <v/>
      </c>
      <c r="Y77" s="1292" t="str">
        <f>'🔵クレーム'!I68</f>
        <v/>
      </c>
      <c r="Z77" s="1293" t="str">
        <f>'🔵クレーム'!J68</f>
        <v/>
      </c>
      <c r="AA77" s="1293" t="str">
        <f>'🔵クレーム'!K68</f>
        <v/>
      </c>
      <c r="AB77" s="1293" t="str">
        <f>'🔵クレーム'!L68</f>
        <v/>
      </c>
      <c r="AC77" s="1295" t="str">
        <f>'🔵クレーム'!N68</f>
        <v/>
      </c>
      <c r="AE77" s="23" t="str">
        <f>IFERROR(__xludf.DUMMYFUNCTION("""COMPUTED_VALUE"""),"リナ")</f>
        <v>リナ</v>
      </c>
      <c r="AH77" s="274"/>
    </row>
    <row r="78" hidden="1" outlineLevel="1">
      <c r="B78" s="1314"/>
      <c r="C78" s="1315"/>
      <c r="D78" s="1324"/>
      <c r="E78" s="1321"/>
      <c r="F78" s="1324"/>
      <c r="G78" s="1325"/>
      <c r="H78" s="1317"/>
      <c r="I78" s="1318"/>
      <c r="J78" s="1319" t="s">
        <v>903</v>
      </c>
      <c r="K78" s="1282"/>
      <c r="L78" s="1282"/>
      <c r="O78" s="1292" t="s">
        <v>61</v>
      </c>
      <c r="P78" s="1292" t="s">
        <v>156</v>
      </c>
      <c r="Q78" s="1292" t="s">
        <v>31</v>
      </c>
      <c r="R78" s="1293"/>
      <c r="S78" s="1292" t="s">
        <v>102</v>
      </c>
      <c r="T78" s="1292" t="s">
        <v>994</v>
      </c>
      <c r="U78" s="1294" t="s">
        <v>1000</v>
      </c>
      <c r="W78" s="1293" t="str">
        <f>'🔵クレーム'!C69</f>
        <v/>
      </c>
      <c r="X78" s="1293" t="str">
        <f>'🔵クレーム'!D69</f>
        <v/>
      </c>
      <c r="Y78" s="1292" t="str">
        <f>'🔵クレーム'!I69</f>
        <v/>
      </c>
      <c r="Z78" s="1293" t="str">
        <f>'🔵クレーム'!J69</f>
        <v/>
      </c>
      <c r="AA78" s="1293" t="str">
        <f>'🔵クレーム'!K69</f>
        <v/>
      </c>
      <c r="AB78" s="1293" t="str">
        <f>'🔵クレーム'!L69</f>
        <v/>
      </c>
      <c r="AC78" s="1295" t="str">
        <f>'🔵クレーム'!N69</f>
        <v/>
      </c>
      <c r="AE78" s="23" t="str">
        <f>IFERROR(__xludf.DUMMYFUNCTION("""COMPUTED_VALUE"""),"山田")</f>
        <v>山田</v>
      </c>
      <c r="AH78" s="274"/>
    </row>
    <row r="79" hidden="1" outlineLevel="1">
      <c r="B79" s="1314"/>
      <c r="C79" s="1315"/>
      <c r="D79" s="1324"/>
      <c r="E79" s="1321"/>
      <c r="F79" s="1324"/>
      <c r="G79" s="1325"/>
      <c r="H79" s="1317"/>
      <c r="I79" s="1318"/>
      <c r="J79" s="1319" t="s">
        <v>903</v>
      </c>
      <c r="K79" s="1282"/>
      <c r="L79" s="1282"/>
      <c r="O79" s="1292" t="s">
        <v>61</v>
      </c>
      <c r="P79" s="1292" t="s">
        <v>161</v>
      </c>
      <c r="Q79" s="1292" t="s">
        <v>40</v>
      </c>
      <c r="R79" s="1293"/>
      <c r="S79" s="1292" t="s">
        <v>639</v>
      </c>
      <c r="T79" s="1292"/>
      <c r="U79" s="1294" t="s">
        <v>1001</v>
      </c>
      <c r="W79" s="1293" t="str">
        <f>'🔵クレーム'!C70</f>
        <v/>
      </c>
      <c r="X79" s="1293" t="str">
        <f>'🔵クレーム'!D70</f>
        <v/>
      </c>
      <c r="Y79" s="1292" t="str">
        <f>'🔵クレーム'!I70</f>
        <v/>
      </c>
      <c r="Z79" s="1293" t="str">
        <f>'🔵クレーム'!J70</f>
        <v/>
      </c>
      <c r="AA79" s="1293" t="str">
        <f>'🔵クレーム'!K70</f>
        <v/>
      </c>
      <c r="AB79" s="1293" t="str">
        <f>'🔵クレーム'!L70</f>
        <v/>
      </c>
      <c r="AC79" s="1295" t="str">
        <f>'🔵クレーム'!N70</f>
        <v/>
      </c>
      <c r="AE79" s="23" t="str">
        <f>IFERROR(__xludf.DUMMYFUNCTION("""COMPUTED_VALUE"""),"谷口")</f>
        <v>谷口</v>
      </c>
      <c r="AH79" s="274"/>
    </row>
    <row r="80" hidden="1" outlineLevel="1">
      <c r="B80" s="1314"/>
      <c r="C80" s="1315"/>
      <c r="D80" s="1324"/>
      <c r="E80" s="1321"/>
      <c r="F80" s="1324"/>
      <c r="G80" s="1325"/>
      <c r="H80" s="1317"/>
      <c r="I80" s="1318"/>
      <c r="J80" s="1319" t="s">
        <v>903</v>
      </c>
      <c r="K80" s="1282"/>
      <c r="L80" s="1282"/>
      <c r="O80" s="1292" t="s">
        <v>61</v>
      </c>
      <c r="P80" s="1292" t="s">
        <v>161</v>
      </c>
      <c r="Q80" s="1292" t="s">
        <v>41</v>
      </c>
      <c r="R80" s="1293"/>
      <c r="S80" s="1292" t="s">
        <v>639</v>
      </c>
      <c r="T80" s="1292" t="s">
        <v>197</v>
      </c>
      <c r="U80" s="1294" t="s">
        <v>1002</v>
      </c>
      <c r="W80" s="1293" t="str">
        <f>'🔵クレーム'!C71</f>
        <v/>
      </c>
      <c r="X80" s="1293" t="str">
        <f>'🔵クレーム'!D71</f>
        <v/>
      </c>
      <c r="Y80" s="1292" t="str">
        <f>'🔵クレーム'!I71</f>
        <v/>
      </c>
      <c r="Z80" s="1293" t="str">
        <f>'🔵クレーム'!J71</f>
        <v/>
      </c>
      <c r="AA80" s="1293" t="str">
        <f>'🔵クレーム'!K71</f>
        <v/>
      </c>
      <c r="AB80" s="1293" t="str">
        <f>'🔵クレーム'!L71</f>
        <v/>
      </c>
      <c r="AC80" s="1295" t="str">
        <f>'🔵クレーム'!N71</f>
        <v/>
      </c>
      <c r="AH80" s="274"/>
    </row>
    <row r="81" hidden="1" outlineLevel="1">
      <c r="B81" s="1314"/>
      <c r="C81" s="1315"/>
      <c r="D81" s="1324"/>
      <c r="E81" s="1321"/>
      <c r="F81" s="1324"/>
      <c r="G81" s="1325"/>
      <c r="H81" s="1317"/>
      <c r="I81" s="1318"/>
      <c r="J81" s="1319" t="s">
        <v>903</v>
      </c>
      <c r="K81" s="1282"/>
      <c r="L81" s="1282"/>
      <c r="O81" s="1292" t="s">
        <v>63</v>
      </c>
      <c r="P81" s="1292" t="s">
        <v>996</v>
      </c>
      <c r="Q81" s="1292" t="s">
        <v>39</v>
      </c>
      <c r="R81" s="1293"/>
      <c r="S81" s="1292" t="s">
        <v>639</v>
      </c>
      <c r="T81" s="1292" t="s">
        <v>197</v>
      </c>
      <c r="U81" s="1294" t="s">
        <v>1003</v>
      </c>
      <c r="W81" s="1293" t="str">
        <f>'🔵クレーム'!C72</f>
        <v/>
      </c>
      <c r="X81" s="1293" t="str">
        <f>'🔵クレーム'!D72</f>
        <v/>
      </c>
      <c r="Y81" s="1292" t="str">
        <f>'🔵クレーム'!I72</f>
        <v/>
      </c>
      <c r="Z81" s="1293" t="str">
        <f>'🔵クレーム'!J72</f>
        <v/>
      </c>
      <c r="AA81" s="1293" t="str">
        <f>'🔵クレーム'!K72</f>
        <v/>
      </c>
      <c r="AB81" s="1293" t="str">
        <f>'🔵クレーム'!L72</f>
        <v/>
      </c>
      <c r="AC81" s="1295" t="str">
        <f>'🔵クレーム'!N72</f>
        <v/>
      </c>
      <c r="AH81" s="274"/>
    </row>
    <row r="82" hidden="1" outlineLevel="1">
      <c r="B82" s="1314"/>
      <c r="C82" s="1315"/>
      <c r="D82" s="1324"/>
      <c r="E82" s="1321"/>
      <c r="F82" s="1324"/>
      <c r="G82" s="1325"/>
      <c r="H82" s="1317"/>
      <c r="I82" s="1318"/>
      <c r="J82" s="1319" t="s">
        <v>903</v>
      </c>
      <c r="K82" s="1282"/>
      <c r="L82" s="1282"/>
      <c r="O82" s="1292" t="s">
        <v>63</v>
      </c>
      <c r="P82" s="1292" t="s">
        <v>938</v>
      </c>
      <c r="Q82" s="1292" t="s">
        <v>31</v>
      </c>
      <c r="R82" s="1293"/>
      <c r="S82" s="1292" t="s">
        <v>103</v>
      </c>
      <c r="T82" s="1292" t="s">
        <v>970</v>
      </c>
      <c r="U82" s="1294" t="s">
        <v>1004</v>
      </c>
      <c r="W82" s="1293" t="str">
        <f>'🔵クレーム'!C73</f>
        <v/>
      </c>
      <c r="X82" s="1293" t="str">
        <f>'🔵クレーム'!D73</f>
        <v/>
      </c>
      <c r="Y82" s="1292" t="str">
        <f>'🔵クレーム'!I73</f>
        <v/>
      </c>
      <c r="Z82" s="1293" t="str">
        <f>'🔵クレーム'!J73</f>
        <v/>
      </c>
      <c r="AA82" s="1293" t="str">
        <f>'🔵クレーム'!K73</f>
        <v/>
      </c>
      <c r="AB82" s="1293" t="str">
        <f>'🔵クレーム'!L73</f>
        <v/>
      </c>
      <c r="AC82" s="1295" t="str">
        <f>'🔵クレーム'!N73</f>
        <v/>
      </c>
      <c r="AH82" s="274"/>
    </row>
    <row r="83" hidden="1" outlineLevel="1">
      <c r="B83" s="1314"/>
      <c r="C83" s="1315"/>
      <c r="D83" s="1324"/>
      <c r="E83" s="1321"/>
      <c r="F83" s="1324"/>
      <c r="G83" s="1325"/>
      <c r="H83" s="1317"/>
      <c r="I83" s="1318"/>
      <c r="J83" s="1319" t="s">
        <v>903</v>
      </c>
      <c r="K83" s="1282"/>
      <c r="L83" s="1282"/>
      <c r="O83" s="1292" t="s">
        <v>63</v>
      </c>
      <c r="P83" s="1292" t="s">
        <v>193</v>
      </c>
      <c r="Q83" s="1292" t="s">
        <v>31</v>
      </c>
      <c r="R83" s="1293"/>
      <c r="S83" s="1292" t="s">
        <v>103</v>
      </c>
      <c r="T83" s="1292" t="s">
        <v>137</v>
      </c>
      <c r="U83" s="1294" t="s">
        <v>1005</v>
      </c>
      <c r="W83" s="1293" t="str">
        <f>'🔵クレーム'!C74</f>
        <v/>
      </c>
      <c r="X83" s="1293" t="str">
        <f>'🔵クレーム'!D74</f>
        <v/>
      </c>
      <c r="Y83" s="1292" t="str">
        <f>'🔵クレーム'!I74</f>
        <v/>
      </c>
      <c r="Z83" s="1293" t="str">
        <f>'🔵クレーム'!J74</f>
        <v/>
      </c>
      <c r="AA83" s="1293" t="str">
        <f>'🔵クレーム'!K74</f>
        <v/>
      </c>
      <c r="AB83" s="1293" t="str">
        <f>'🔵クレーム'!L74</f>
        <v/>
      </c>
      <c r="AC83" s="1295" t="str">
        <f>'🔵クレーム'!N74</f>
        <v/>
      </c>
      <c r="AH83" s="274"/>
    </row>
    <row r="84" hidden="1" outlineLevel="1">
      <c r="B84" s="1314"/>
      <c r="C84" s="1315"/>
      <c r="D84" s="1324"/>
      <c r="E84" s="1321"/>
      <c r="F84" s="1324"/>
      <c r="G84" s="1325"/>
      <c r="H84" s="1317"/>
      <c r="I84" s="1318"/>
      <c r="J84" s="1319" t="s">
        <v>903</v>
      </c>
      <c r="K84" s="1282"/>
      <c r="L84" s="1282"/>
      <c r="O84" s="1292" t="s">
        <v>63</v>
      </c>
      <c r="P84" s="1292" t="s">
        <v>1006</v>
      </c>
      <c r="Q84" s="1292" t="s">
        <v>39</v>
      </c>
      <c r="R84" s="1293"/>
      <c r="S84" s="1292" t="s">
        <v>100</v>
      </c>
      <c r="T84" s="1292" t="s">
        <v>497</v>
      </c>
      <c r="U84" s="1294" t="s">
        <v>1007</v>
      </c>
      <c r="W84" s="1293" t="str">
        <f>'🔵クレーム'!C75</f>
        <v/>
      </c>
      <c r="X84" s="1293" t="str">
        <f>'🔵クレーム'!D75</f>
        <v/>
      </c>
      <c r="Y84" s="1292" t="str">
        <f>'🔵クレーム'!I75</f>
        <v/>
      </c>
      <c r="Z84" s="1293" t="str">
        <f>'🔵クレーム'!J75</f>
        <v/>
      </c>
      <c r="AA84" s="1293" t="str">
        <f>'🔵クレーム'!K75</f>
        <v/>
      </c>
      <c r="AB84" s="1293" t="str">
        <f>'🔵クレーム'!L75</f>
        <v/>
      </c>
      <c r="AC84" s="1295" t="str">
        <f>'🔵クレーム'!N75</f>
        <v/>
      </c>
      <c r="AH84" s="274"/>
    </row>
    <row r="85" hidden="1" outlineLevel="1">
      <c r="B85" s="1314"/>
      <c r="C85" s="1315"/>
      <c r="D85" s="1324"/>
      <c r="E85" s="1321"/>
      <c r="F85" s="1324"/>
      <c r="G85" s="1325"/>
      <c r="H85" s="1317"/>
      <c r="I85" s="1318"/>
      <c r="J85" s="1319" t="s">
        <v>903</v>
      </c>
      <c r="K85" s="1282"/>
      <c r="L85" s="1282"/>
      <c r="O85" s="1292" t="s">
        <v>63</v>
      </c>
      <c r="P85" s="1292" t="s">
        <v>791</v>
      </c>
      <c r="Q85" s="1292" t="s">
        <v>42</v>
      </c>
      <c r="R85" s="1293"/>
      <c r="S85" s="1292" t="s">
        <v>111</v>
      </c>
      <c r="T85" s="1292"/>
      <c r="U85" s="1294" t="s">
        <v>1008</v>
      </c>
      <c r="W85" s="1293" t="str">
        <f>'🔵クレーム'!C76</f>
        <v/>
      </c>
      <c r="X85" s="1293" t="str">
        <f>'🔵クレーム'!D76</f>
        <v/>
      </c>
      <c r="Y85" s="1292" t="str">
        <f>'🔵クレーム'!I76</f>
        <v/>
      </c>
      <c r="Z85" s="1293" t="str">
        <f>'🔵クレーム'!J76</f>
        <v/>
      </c>
      <c r="AA85" s="1293" t="str">
        <f>'🔵クレーム'!K76</f>
        <v/>
      </c>
      <c r="AB85" s="1293" t="str">
        <f>'🔵クレーム'!L76</f>
        <v/>
      </c>
      <c r="AC85" s="1295" t="str">
        <f>'🔵クレーム'!N76</f>
        <v/>
      </c>
      <c r="AH85" s="274"/>
    </row>
    <row r="86" hidden="1" outlineLevel="1">
      <c r="B86" s="1314"/>
      <c r="C86" s="1315"/>
      <c r="D86" s="1324"/>
      <c r="E86" s="1321"/>
      <c r="F86" s="1324"/>
      <c r="G86" s="1325"/>
      <c r="H86" s="1317"/>
      <c r="I86" s="1318"/>
      <c r="J86" s="1319" t="s">
        <v>903</v>
      </c>
      <c r="K86" s="1282"/>
      <c r="L86" s="1282"/>
      <c r="O86" s="1292" t="s">
        <v>63</v>
      </c>
      <c r="P86" s="1292" t="s">
        <v>790</v>
      </c>
      <c r="Q86" s="1292" t="s">
        <v>29</v>
      </c>
      <c r="R86" s="1293"/>
      <c r="S86" s="1292"/>
      <c r="T86" s="1292"/>
      <c r="U86" s="1294" t="s">
        <v>1009</v>
      </c>
      <c r="W86" s="1293" t="str">
        <f>'🔵クレーム'!C77</f>
        <v/>
      </c>
      <c r="X86" s="1293" t="str">
        <f>'🔵クレーム'!D77</f>
        <v/>
      </c>
      <c r="Y86" s="1292" t="str">
        <f>'🔵クレーム'!I77</f>
        <v/>
      </c>
      <c r="Z86" s="1293" t="str">
        <f>'🔵クレーム'!J77</f>
        <v/>
      </c>
      <c r="AA86" s="1293" t="str">
        <f>'🔵クレーム'!K77</f>
        <v/>
      </c>
      <c r="AB86" s="1293" t="str">
        <f>'🔵クレーム'!L77</f>
        <v/>
      </c>
      <c r="AC86" s="1295" t="str">
        <f>'🔵クレーム'!N77</f>
        <v/>
      </c>
      <c r="AH86" s="274"/>
    </row>
    <row r="87" hidden="1" outlineLevel="1">
      <c r="B87" s="1314"/>
      <c r="C87" s="1315"/>
      <c r="D87" s="1324"/>
      <c r="E87" s="1321"/>
      <c r="F87" s="1324"/>
      <c r="G87" s="1325"/>
      <c r="H87" s="1317"/>
      <c r="I87" s="1318"/>
      <c r="J87" s="1319" t="s">
        <v>903</v>
      </c>
      <c r="K87" s="1282"/>
      <c r="L87" s="1282"/>
      <c r="O87" s="1292" t="s">
        <v>65</v>
      </c>
      <c r="P87" s="1292" t="s">
        <v>996</v>
      </c>
      <c r="Q87" s="1292" t="s">
        <v>42</v>
      </c>
      <c r="R87" s="1293"/>
      <c r="S87" s="1292" t="s">
        <v>1010</v>
      </c>
      <c r="T87" s="1292" t="s">
        <v>970</v>
      </c>
      <c r="U87" s="1294" t="s">
        <v>1011</v>
      </c>
      <c r="W87" s="1293" t="str">
        <f>'🔵クレーム'!C78</f>
        <v/>
      </c>
      <c r="X87" s="1293" t="str">
        <f>'🔵クレーム'!D78</f>
        <v/>
      </c>
      <c r="Y87" s="1292" t="str">
        <f>'🔵クレーム'!I78</f>
        <v/>
      </c>
      <c r="Z87" s="1293" t="str">
        <f>'🔵クレーム'!J78</f>
        <v/>
      </c>
      <c r="AA87" s="1293" t="str">
        <f>'🔵クレーム'!K78</f>
        <v/>
      </c>
      <c r="AB87" s="1293" t="str">
        <f>'🔵クレーム'!L78</f>
        <v/>
      </c>
      <c r="AC87" s="1295" t="str">
        <f>'🔵クレーム'!N78</f>
        <v/>
      </c>
      <c r="AH87" s="274"/>
    </row>
    <row r="88" hidden="1" outlineLevel="1">
      <c r="B88" s="1314"/>
      <c r="C88" s="1315"/>
      <c r="D88" s="1324"/>
      <c r="E88" s="1321"/>
      <c r="F88" s="1324"/>
      <c r="G88" s="1325"/>
      <c r="H88" s="1317"/>
      <c r="I88" s="1318"/>
      <c r="J88" s="1319" t="s">
        <v>903</v>
      </c>
      <c r="K88" s="1282"/>
      <c r="L88" s="1282"/>
      <c r="O88" s="1292" t="s">
        <v>65</v>
      </c>
      <c r="P88" s="1292" t="s">
        <v>938</v>
      </c>
      <c r="Q88" s="1292" t="s">
        <v>42</v>
      </c>
      <c r="R88" s="1293"/>
      <c r="S88" s="1292" t="s">
        <v>102</v>
      </c>
      <c r="T88" s="1292"/>
      <c r="U88" s="1294" t="s">
        <v>1008</v>
      </c>
      <c r="W88" s="1293" t="str">
        <f>'🔵クレーム'!C79</f>
        <v/>
      </c>
      <c r="X88" s="1293" t="str">
        <f>'🔵クレーム'!D79</f>
        <v/>
      </c>
      <c r="Y88" s="1292" t="str">
        <f>'🔵クレーム'!I79</f>
        <v/>
      </c>
      <c r="Z88" s="1293" t="str">
        <f>'🔵クレーム'!J79</f>
        <v/>
      </c>
      <c r="AA88" s="1293" t="str">
        <f>'🔵クレーム'!K79</f>
        <v/>
      </c>
      <c r="AB88" s="1293" t="str">
        <f>'🔵クレーム'!L79</f>
        <v/>
      </c>
      <c r="AC88" s="1295" t="str">
        <f>'🔵クレーム'!N79</f>
        <v/>
      </c>
      <c r="AH88" s="274"/>
    </row>
    <row r="89" hidden="1" outlineLevel="1">
      <c r="B89" s="1314"/>
      <c r="C89" s="1315"/>
      <c r="D89" s="1324"/>
      <c r="E89" s="1321"/>
      <c r="F89" s="1324"/>
      <c r="G89" s="1325"/>
      <c r="H89" s="1317"/>
      <c r="I89" s="1318"/>
      <c r="J89" s="1319" t="s">
        <v>903</v>
      </c>
      <c r="K89" s="1282"/>
      <c r="L89" s="1282"/>
      <c r="O89" s="1292" t="s">
        <v>65</v>
      </c>
      <c r="P89" s="1292" t="s">
        <v>124</v>
      </c>
      <c r="Q89" s="1292" t="s">
        <v>29</v>
      </c>
      <c r="R89" s="1293"/>
      <c r="S89" s="1292"/>
      <c r="T89" s="1292"/>
      <c r="U89" s="1294" t="s">
        <v>1012</v>
      </c>
      <c r="W89" s="1293" t="str">
        <f>'🔵クレーム'!C80</f>
        <v/>
      </c>
      <c r="X89" s="1293" t="str">
        <f>'🔵クレーム'!D80</f>
        <v/>
      </c>
      <c r="Y89" s="1292" t="str">
        <f>'🔵クレーム'!I80</f>
        <v/>
      </c>
      <c r="Z89" s="1293" t="str">
        <f>'🔵クレーム'!J80</f>
        <v/>
      </c>
      <c r="AA89" s="1293" t="str">
        <f>'🔵クレーム'!K80</f>
        <v/>
      </c>
      <c r="AB89" s="1293" t="str">
        <f>'🔵クレーム'!L80</f>
        <v/>
      </c>
      <c r="AC89" s="1295" t="str">
        <f>'🔵クレーム'!N80</f>
        <v/>
      </c>
      <c r="AH89" s="274"/>
    </row>
    <row r="90" hidden="1" outlineLevel="1">
      <c r="B90" s="1328"/>
      <c r="C90" s="1329"/>
      <c r="D90" s="1328"/>
      <c r="E90" s="1327"/>
      <c r="F90" s="1328"/>
      <c r="G90" s="1329"/>
      <c r="H90" s="1328"/>
      <c r="I90" s="1330"/>
      <c r="J90" s="1327" t="s">
        <v>903</v>
      </c>
      <c r="K90" s="1282"/>
      <c r="L90" s="1282"/>
      <c r="O90" s="1292" t="s">
        <v>65</v>
      </c>
      <c r="P90" s="1292" t="s">
        <v>124</v>
      </c>
      <c r="Q90" s="1292" t="s">
        <v>29</v>
      </c>
      <c r="R90" s="1293"/>
      <c r="S90" s="1292"/>
      <c r="T90" s="1292"/>
      <c r="U90" s="1294" t="s">
        <v>1013</v>
      </c>
      <c r="W90" s="1293" t="str">
        <f>'🔵クレーム'!C81</f>
        <v/>
      </c>
      <c r="X90" s="1293" t="str">
        <f>'🔵クレーム'!D81</f>
        <v/>
      </c>
      <c r="Y90" s="1292" t="str">
        <f>'🔵クレーム'!I81</f>
        <v/>
      </c>
      <c r="Z90" s="1293" t="str">
        <f>'🔵クレーム'!J81</f>
        <v/>
      </c>
      <c r="AA90" s="1293" t="str">
        <f>'🔵クレーム'!K81</f>
        <v/>
      </c>
      <c r="AB90" s="1293" t="str">
        <f>'🔵クレーム'!L81</f>
        <v/>
      </c>
      <c r="AC90" s="1295" t="str">
        <f>'🔵クレーム'!N81</f>
        <v/>
      </c>
      <c r="AH90" s="274"/>
    </row>
    <row r="91">
      <c r="B91" s="1282"/>
      <c r="C91" s="1282"/>
      <c r="D91" s="1282"/>
      <c r="E91" s="1282"/>
      <c r="F91" s="1282"/>
      <c r="G91" s="1282"/>
      <c r="H91" s="1282"/>
      <c r="I91" s="1282"/>
      <c r="J91" s="1282" t="s">
        <v>903</v>
      </c>
      <c r="K91" s="1282"/>
      <c r="L91" s="1282"/>
      <c r="O91" s="1292" t="s">
        <v>65</v>
      </c>
      <c r="P91" s="1292" t="s">
        <v>980</v>
      </c>
      <c r="Q91" s="1292" t="s">
        <v>39</v>
      </c>
      <c r="R91" s="1293"/>
      <c r="S91" s="1292" t="s">
        <v>200</v>
      </c>
      <c r="T91" s="1292" t="s">
        <v>493</v>
      </c>
      <c r="U91" s="1294" t="s">
        <v>1014</v>
      </c>
      <c r="W91" s="1293" t="str">
        <f>'🔵クレーム'!C82</f>
        <v/>
      </c>
      <c r="X91" s="1293" t="str">
        <f>'🔵クレーム'!D82</f>
        <v/>
      </c>
      <c r="Y91" s="1292" t="str">
        <f>'🔵クレーム'!I82</f>
        <v/>
      </c>
      <c r="Z91" s="1293" t="str">
        <f>'🔵クレーム'!J82</f>
        <v/>
      </c>
      <c r="AA91" s="1293" t="str">
        <f>'🔵クレーム'!K82</f>
        <v/>
      </c>
      <c r="AB91" s="1293" t="str">
        <f>'🔵クレーム'!L82</f>
        <v/>
      </c>
      <c r="AC91" s="1295" t="str">
        <f>'🔵クレーム'!N82</f>
        <v/>
      </c>
      <c r="AH91" s="274"/>
    </row>
    <row r="92">
      <c r="B92" s="1283" t="s">
        <v>1015</v>
      </c>
      <c r="C92" s="1282"/>
      <c r="D92" s="1282"/>
      <c r="E92" s="1282"/>
      <c r="F92" s="1282"/>
      <c r="G92" s="1282"/>
      <c r="H92" s="1282"/>
      <c r="I92" s="1282"/>
      <c r="J92" s="1282" t="s">
        <v>903</v>
      </c>
      <c r="K92" s="1282"/>
      <c r="L92" s="1282"/>
      <c r="O92" s="1292" t="s">
        <v>65</v>
      </c>
      <c r="P92" s="1292" t="s">
        <v>145</v>
      </c>
      <c r="Q92" s="1292" t="s">
        <v>41</v>
      </c>
      <c r="R92" s="1293"/>
      <c r="S92" s="1292" t="s">
        <v>831</v>
      </c>
      <c r="T92" s="1292" t="s">
        <v>137</v>
      </c>
      <c r="U92" s="1294" t="s">
        <v>1016</v>
      </c>
      <c r="W92" s="1293" t="str">
        <f>'🔵クレーム'!C83</f>
        <v/>
      </c>
      <c r="X92" s="1293" t="str">
        <f>'🔵クレーム'!D83</f>
        <v/>
      </c>
      <c r="Y92" s="1292" t="str">
        <f>'🔵クレーム'!I83</f>
        <v/>
      </c>
      <c r="Z92" s="1293" t="str">
        <f>'🔵クレーム'!J83</f>
        <v/>
      </c>
      <c r="AA92" s="1293" t="str">
        <f>'🔵クレーム'!K83</f>
        <v/>
      </c>
      <c r="AB92" s="1293" t="str">
        <f>'🔵クレーム'!L83</f>
        <v/>
      </c>
      <c r="AC92" s="1295" t="str">
        <f>'🔵クレーム'!N83</f>
        <v/>
      </c>
      <c r="AH92" s="274"/>
    </row>
    <row r="93">
      <c r="B93" s="1331" t="s">
        <v>1017</v>
      </c>
      <c r="C93" s="1285" t="s">
        <v>937</v>
      </c>
      <c r="D93" s="1282"/>
      <c r="E93" s="1282"/>
      <c r="F93" s="1282"/>
      <c r="G93" s="1282"/>
      <c r="H93" s="1282"/>
      <c r="I93" s="1282"/>
      <c r="J93" s="1282" t="s">
        <v>903</v>
      </c>
      <c r="K93" s="1282"/>
      <c r="L93" s="1282"/>
      <c r="O93" s="1292" t="s">
        <v>65</v>
      </c>
      <c r="P93" s="1292" t="s">
        <v>152</v>
      </c>
      <c r="Q93" s="1292" t="s">
        <v>31</v>
      </c>
      <c r="R93" s="1293"/>
      <c r="S93" s="1292" t="s">
        <v>947</v>
      </c>
      <c r="T93" s="1292" t="s">
        <v>1018</v>
      </c>
      <c r="U93" s="1294" t="s">
        <v>1019</v>
      </c>
      <c r="W93" s="1293" t="str">
        <f>'🔵クレーム'!C84</f>
        <v/>
      </c>
      <c r="X93" s="1293" t="str">
        <f>'🔵クレーム'!D84</f>
        <v/>
      </c>
      <c r="Y93" s="1292" t="str">
        <f>'🔵クレーム'!I84</f>
        <v/>
      </c>
      <c r="Z93" s="1293" t="str">
        <f>'🔵クレーム'!J84</f>
        <v/>
      </c>
      <c r="AA93" s="1293" t="str">
        <f>'🔵クレーム'!K84</f>
        <v/>
      </c>
      <c r="AB93" s="1293" t="str">
        <f>'🔵クレーム'!L84</f>
        <v/>
      </c>
      <c r="AC93" s="1295" t="str">
        <f>'🔵クレーム'!N84</f>
        <v/>
      </c>
      <c r="AH93" s="274"/>
    </row>
    <row r="94">
      <c r="B94" s="1332" t="s">
        <v>81</v>
      </c>
      <c r="C94" s="1332" t="s">
        <v>82</v>
      </c>
      <c r="D94" s="1332" t="s">
        <v>79</v>
      </c>
      <c r="E94" s="1333" t="s">
        <v>89</v>
      </c>
      <c r="F94" s="1333" t="s">
        <v>90</v>
      </c>
      <c r="G94" s="1334" t="s">
        <v>92</v>
      </c>
      <c r="H94" s="1335"/>
      <c r="I94" s="1335"/>
      <c r="J94" s="597"/>
      <c r="K94" s="1282"/>
      <c r="L94" s="1282"/>
      <c r="O94" s="1292" t="s">
        <v>65</v>
      </c>
      <c r="P94" s="1292" t="s">
        <v>161</v>
      </c>
      <c r="Q94" s="1292" t="s">
        <v>38</v>
      </c>
      <c r="R94" s="1293"/>
      <c r="S94" s="1292" t="s">
        <v>639</v>
      </c>
      <c r="T94" s="1292" t="s">
        <v>190</v>
      </c>
      <c r="U94" s="1294" t="s">
        <v>1020</v>
      </c>
      <c r="W94" s="1293" t="str">
        <f>'🔵クレーム'!C85</f>
        <v/>
      </c>
      <c r="X94" s="1293" t="str">
        <f>'🔵クレーム'!D85</f>
        <v/>
      </c>
      <c r="Y94" s="1292" t="str">
        <f>'🔵クレーム'!I85</f>
        <v/>
      </c>
      <c r="Z94" s="1293" t="str">
        <f>'🔵クレーム'!J85</f>
        <v/>
      </c>
      <c r="AA94" s="1293" t="str">
        <f>'🔵クレーム'!K85</f>
        <v/>
      </c>
      <c r="AB94" s="1293" t="str">
        <f>'🔵クレーム'!L85</f>
        <v/>
      </c>
      <c r="AC94" s="1295" t="str">
        <f>'🔵クレーム'!N85</f>
        <v/>
      </c>
      <c r="AH94" s="274"/>
    </row>
    <row r="95">
      <c r="B95" s="133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6" t="str">
        <f>IFERROR(__xludf.DUMMYFUNCTION("""COMPUTED_VALUE"""),"3日")</f>
        <v>3日</v>
      </c>
      <c r="D95" s="1337" t="str">
        <f>IFERROR(__xludf.DUMMYFUNCTION("""COMPUTED_VALUE"""),"汚れ")</f>
        <v>汚れ</v>
      </c>
      <c r="E95" s="1338"/>
      <c r="F95" s="1338" t="str">
        <f>IFERROR(__xludf.DUMMYFUNCTION("""COMPUTED_VALUE"""),"ラリー")</f>
        <v>ラリー</v>
      </c>
      <c r="G95" s="1339" t="str">
        <f>IFERROR(__xludf.DUMMYFUNCTION("""COMPUTED_VALUE"""),"布団、デュベ汚れ")</f>
        <v>布団、デュベ汚れ</v>
      </c>
      <c r="H95" s="220"/>
      <c r="I95" s="220"/>
      <c r="J95" s="5"/>
      <c r="K95" s="1282"/>
      <c r="L95" s="1282"/>
      <c r="O95" s="1292" t="s">
        <v>65</v>
      </c>
      <c r="P95" s="1292" t="s">
        <v>207</v>
      </c>
      <c r="Q95" s="1292" t="s">
        <v>29</v>
      </c>
      <c r="R95" s="1293"/>
      <c r="S95" s="1292"/>
      <c r="T95" s="1292"/>
      <c r="U95" s="1294" t="s">
        <v>1021</v>
      </c>
      <c r="W95" s="1293" t="str">
        <f>'🔵クレーム'!C86</f>
        <v/>
      </c>
      <c r="X95" s="1293" t="str">
        <f>'🔵クレーム'!D86</f>
        <v/>
      </c>
      <c r="Y95" s="1292" t="str">
        <f>'🔵クレーム'!I86</f>
        <v/>
      </c>
      <c r="Z95" s="1293" t="str">
        <f>'🔵クレーム'!J86</f>
        <v/>
      </c>
      <c r="AA95" s="1293" t="str">
        <f>'🔵クレーム'!K86</f>
        <v/>
      </c>
      <c r="AB95" s="1293" t="str">
        <f>'🔵クレーム'!L86</f>
        <v/>
      </c>
      <c r="AC95" s="1295" t="str">
        <f>'🔵クレーム'!N86</f>
        <v/>
      </c>
      <c r="AH95" s="274"/>
    </row>
    <row r="96">
      <c r="B96" s="1340" t="str">
        <f>IFERROR(__xludf.DUMMYFUNCTION("""COMPUTED_VALUE"""),"2月")</f>
        <v>2月</v>
      </c>
      <c r="C96" s="1341" t="str">
        <f>IFERROR(__xludf.DUMMYFUNCTION("""COMPUTED_VALUE"""),"4日")</f>
        <v>4日</v>
      </c>
      <c r="D96" s="1341" t="str">
        <f>IFERROR(__xludf.DUMMYFUNCTION("""COMPUTED_VALUE"""),"汚れ")</f>
        <v>汚れ</v>
      </c>
      <c r="E96" s="1338"/>
      <c r="F96" s="1338" t="str">
        <f>IFERROR(__xludf.DUMMYFUNCTION("""COMPUTED_VALUE"""),"ナバーロ")</f>
        <v>ナバーロ</v>
      </c>
      <c r="G96" s="1339" t="str">
        <f>IFERROR(__xludf.DUMMYFUNCTION("""COMPUTED_VALUE"""),"ベッドパットにシミ")</f>
        <v>ベッドパットにシミ</v>
      </c>
      <c r="H96" s="220"/>
      <c r="I96" s="220"/>
      <c r="J96" s="5"/>
      <c r="K96" s="1282"/>
      <c r="L96" s="1282"/>
      <c r="O96" s="1292" t="s">
        <v>65</v>
      </c>
      <c r="P96" s="1292" t="s">
        <v>207</v>
      </c>
      <c r="Q96" s="1292" t="s">
        <v>29</v>
      </c>
      <c r="R96" s="1293"/>
      <c r="S96" s="1292"/>
      <c r="T96" s="1292"/>
      <c r="U96" s="1294" t="s">
        <v>1022</v>
      </c>
      <c r="W96" s="1293" t="str">
        <f>'🔵クレーム'!C87</f>
        <v/>
      </c>
      <c r="X96" s="1293" t="str">
        <f>'🔵クレーム'!D87</f>
        <v/>
      </c>
      <c r="Y96" s="1292" t="str">
        <f>'🔵クレーム'!I87</f>
        <v/>
      </c>
      <c r="Z96" s="1293" t="str">
        <f>'🔵クレーム'!J87</f>
        <v/>
      </c>
      <c r="AA96" s="1293" t="str">
        <f>'🔵クレーム'!K87</f>
        <v/>
      </c>
      <c r="AB96" s="1293" t="str">
        <f>'🔵クレーム'!L87</f>
        <v/>
      </c>
      <c r="AC96" s="1295" t="str">
        <f>'🔵クレーム'!N87</f>
        <v/>
      </c>
      <c r="AH96" s="274"/>
    </row>
    <row r="97">
      <c r="B97" s="1340" t="str">
        <f>IFERROR(__xludf.DUMMYFUNCTION("""COMPUTED_VALUE"""),"2月")</f>
        <v>2月</v>
      </c>
      <c r="C97" s="1341" t="str">
        <f>IFERROR(__xludf.DUMMYFUNCTION("""COMPUTED_VALUE"""),"5日")</f>
        <v>5日</v>
      </c>
      <c r="D97" s="1341" t="str">
        <f>IFERROR(__xludf.DUMMYFUNCTION("""COMPUTED_VALUE"""),"その他")</f>
        <v>その他</v>
      </c>
      <c r="E97" s="1338"/>
      <c r="F97" s="1338" t="str">
        <f>IFERROR(__xludf.DUMMYFUNCTION("""COMPUTED_VALUE"""),"ジャスミン")</f>
        <v>ジャスミン</v>
      </c>
      <c r="G97" s="1339" t="str">
        <f>IFERROR(__xludf.DUMMYFUNCTION("""COMPUTED_VALUE"""),"UBにあったボトルがない")</f>
        <v>UBにあったボトルがない</v>
      </c>
      <c r="H97" s="220"/>
      <c r="I97" s="220"/>
      <c r="J97" s="5"/>
      <c r="K97" s="1282"/>
      <c r="L97" s="1282"/>
      <c r="O97" s="1292" t="s">
        <v>65</v>
      </c>
      <c r="P97" s="1292" t="s">
        <v>210</v>
      </c>
      <c r="Q97" s="1292" t="s">
        <v>39</v>
      </c>
      <c r="R97" s="1293"/>
      <c r="S97" s="1292"/>
      <c r="T97" s="1292" t="s">
        <v>488</v>
      </c>
      <c r="U97" s="1294" t="s">
        <v>1023</v>
      </c>
      <c r="W97" s="1293" t="str">
        <f>'🔵クレーム'!C88</f>
        <v/>
      </c>
      <c r="X97" s="1293" t="str">
        <f>'🔵クレーム'!D88</f>
        <v/>
      </c>
      <c r="Y97" s="1292" t="str">
        <f>'🔵クレーム'!I88</f>
        <v/>
      </c>
      <c r="Z97" s="1293" t="str">
        <f>'🔵クレーム'!J88</f>
        <v/>
      </c>
      <c r="AA97" s="1293" t="str">
        <f>'🔵クレーム'!K88</f>
        <v/>
      </c>
      <c r="AB97" s="1293" t="str">
        <f>'🔵クレーム'!L88</f>
        <v/>
      </c>
      <c r="AC97" s="1295" t="str">
        <f>'🔵クレーム'!N88</f>
        <v/>
      </c>
      <c r="AH97" s="274"/>
    </row>
    <row r="98">
      <c r="B98" s="1340" t="str">
        <f>IFERROR(__xludf.DUMMYFUNCTION("""COMPUTED_VALUE"""),"2月")</f>
        <v>2月</v>
      </c>
      <c r="C98" s="1341" t="str">
        <f>IFERROR(__xludf.DUMMYFUNCTION("""COMPUTED_VALUE"""),"11日")</f>
        <v>11日</v>
      </c>
      <c r="D98" s="1341" t="str">
        <f>IFERROR(__xludf.DUMMYFUNCTION("""COMPUTED_VALUE"""),"汚れ")</f>
        <v>汚れ</v>
      </c>
      <c r="E98" s="1338" t="str">
        <f>IFERROR(__xludf.DUMMYFUNCTION("""COMPUTED_VALUE"""),"ジェ")</f>
        <v>ジェ</v>
      </c>
      <c r="F98" s="1338" t="str">
        <f>IFERROR(__xludf.DUMMYFUNCTION("""COMPUTED_VALUE"""),"グルン")</f>
        <v>グルン</v>
      </c>
      <c r="G98" s="1339" t="str">
        <f>IFERROR(__xludf.DUMMYFUNCTION("""COMPUTED_VALUE"""),"カップに口紅ついてた。髪の毛が落ちてた")</f>
        <v>カップに口紅ついてた。髪の毛が落ちてた</v>
      </c>
      <c r="H98" s="220"/>
      <c r="I98" s="220"/>
      <c r="J98" s="5"/>
      <c r="K98" s="1282"/>
      <c r="L98" s="1282"/>
      <c r="O98" s="1292" t="s">
        <v>65</v>
      </c>
      <c r="P98" s="1292" t="s">
        <v>214</v>
      </c>
      <c r="Q98" s="1292" t="s">
        <v>38</v>
      </c>
      <c r="R98" s="1293"/>
      <c r="S98" s="1292" t="s">
        <v>102</v>
      </c>
      <c r="T98" s="1292" t="s">
        <v>490</v>
      </c>
      <c r="U98" s="1294" t="s">
        <v>1024</v>
      </c>
      <c r="W98" s="1293" t="str">
        <f>'🔵クレーム'!C89</f>
        <v/>
      </c>
      <c r="X98" s="1293" t="str">
        <f>'🔵クレーム'!D89</f>
        <v/>
      </c>
      <c r="Y98" s="1292" t="str">
        <f>'🔵クレーム'!I89</f>
        <v/>
      </c>
      <c r="Z98" s="1293" t="str">
        <f>'🔵クレーム'!J89</f>
        <v/>
      </c>
      <c r="AA98" s="1293" t="str">
        <f>'🔵クレーム'!K89</f>
        <v/>
      </c>
      <c r="AB98" s="1293" t="str">
        <f>'🔵クレーム'!L89</f>
        <v/>
      </c>
      <c r="AC98" s="1295" t="str">
        <f>'🔵クレーム'!N89</f>
        <v/>
      </c>
      <c r="AH98" s="274"/>
    </row>
    <row r="99">
      <c r="B99" s="1340" t="str">
        <f>IFERROR(__xludf.DUMMYFUNCTION("""COMPUTED_VALUE"""),"2月")</f>
        <v>2月</v>
      </c>
      <c r="C99" s="1341" t="str">
        <f>IFERROR(__xludf.DUMMYFUNCTION("""COMPUTED_VALUE"""),"12日")</f>
        <v>12日</v>
      </c>
      <c r="D99" s="1341" t="str">
        <f>IFERROR(__xludf.DUMMYFUNCTION("""COMPUTED_VALUE"""),"汚れ")</f>
        <v>汚れ</v>
      </c>
      <c r="E99" s="1338" t="str">
        <f>IFERROR(__xludf.DUMMYFUNCTION("""COMPUTED_VALUE"""),"ディパク")</f>
        <v>ディパク</v>
      </c>
      <c r="F99" s="1338" t="str">
        <f>IFERROR(__xludf.DUMMYFUNCTION("""COMPUTED_VALUE"""),"サンデア")</f>
        <v>サンデア</v>
      </c>
      <c r="G99" s="1339" t="str">
        <f>IFERROR(__xludf.DUMMYFUNCTION("""COMPUTED_VALUE"""),"グラス、マグ汚れていた")</f>
        <v>グラス、マグ汚れていた</v>
      </c>
      <c r="H99" s="220"/>
      <c r="I99" s="220"/>
      <c r="J99" s="5"/>
      <c r="K99" s="1282"/>
      <c r="L99" s="1282"/>
      <c r="O99" s="1292" t="s">
        <v>65</v>
      </c>
      <c r="P99" s="1292" t="s">
        <v>791</v>
      </c>
      <c r="Q99" s="1292" t="s">
        <v>38</v>
      </c>
      <c r="R99" s="1293"/>
      <c r="S99" s="1292" t="s">
        <v>196</v>
      </c>
      <c r="T99" s="1292" t="s">
        <v>497</v>
      </c>
      <c r="U99" s="1294" t="s">
        <v>1025</v>
      </c>
      <c r="W99" s="1293" t="str">
        <f>'🔵クレーム'!C90</f>
        <v/>
      </c>
      <c r="X99" s="1293" t="str">
        <f>'🔵クレーム'!D90</f>
        <v/>
      </c>
      <c r="Y99" s="1292" t="str">
        <f>'🔵クレーム'!I90</f>
        <v/>
      </c>
      <c r="Z99" s="1293" t="str">
        <f>'🔵クレーム'!J90</f>
        <v/>
      </c>
      <c r="AA99" s="1293" t="str">
        <f>'🔵クレーム'!K90</f>
        <v/>
      </c>
      <c r="AB99" s="1293" t="str">
        <f>'🔵クレーム'!L90</f>
        <v/>
      </c>
      <c r="AC99" s="1295" t="str">
        <f>'🔵クレーム'!N90</f>
        <v/>
      </c>
      <c r="AH99" s="274"/>
    </row>
    <row r="100">
      <c r="B100" s="1340" t="str">
        <f>IFERROR(__xludf.DUMMYFUNCTION("""COMPUTED_VALUE"""),"2月")</f>
        <v>2月</v>
      </c>
      <c r="C100" s="1341" t="str">
        <f>IFERROR(__xludf.DUMMYFUNCTION("""COMPUTED_VALUE"""),"17日")</f>
        <v>17日</v>
      </c>
      <c r="D100" s="1341" t="str">
        <f>IFERROR(__xludf.DUMMYFUNCTION("""COMPUTED_VALUE"""),"手配ミス")</f>
        <v>手配ミス</v>
      </c>
      <c r="E100" s="1338" t="str">
        <f>IFERROR(__xludf.DUMMYFUNCTION("""COMPUTED_VALUE"""),"ディパク")</f>
        <v>ディパク</v>
      </c>
      <c r="F100" s="1338" t="str">
        <f>IFERROR(__xludf.DUMMYFUNCTION("""COMPUTED_VALUE"""),"ギタ")</f>
        <v>ギタ</v>
      </c>
      <c r="G100" s="1339" t="str">
        <f>IFERROR(__xludf.DUMMYFUNCTION("""COMPUTED_VALUE"""),"歯ブラシ袋開いていた")</f>
        <v>歯ブラシ袋開いていた</v>
      </c>
      <c r="H100" s="220"/>
      <c r="I100" s="220"/>
      <c r="J100" s="5"/>
      <c r="K100" s="1282"/>
      <c r="L100" s="1282"/>
      <c r="O100" s="1292" t="s">
        <v>67</v>
      </c>
      <c r="P100" s="1292" t="s">
        <v>996</v>
      </c>
      <c r="Q100" s="1292" t="s">
        <v>42</v>
      </c>
      <c r="R100" s="1293"/>
      <c r="S100" s="1292" t="s">
        <v>111</v>
      </c>
      <c r="T100" s="1292" t="s">
        <v>103</v>
      </c>
      <c r="U100" s="1294" t="s">
        <v>1026</v>
      </c>
      <c r="W100" s="1293" t="str">
        <f>'🔵クレーム'!C91</f>
        <v/>
      </c>
      <c r="X100" s="1293" t="str">
        <f>'🔵クレーム'!D91</f>
        <v/>
      </c>
      <c r="Y100" s="1292" t="str">
        <f>'🔵クレーム'!I91</f>
        <v/>
      </c>
      <c r="Z100" s="1293" t="str">
        <f>'🔵クレーム'!J91</f>
        <v/>
      </c>
      <c r="AA100" s="1293" t="str">
        <f>'🔵クレーム'!K91</f>
        <v/>
      </c>
      <c r="AB100" s="1293" t="str">
        <f>'🔵クレーム'!L91</f>
        <v/>
      </c>
      <c r="AC100" s="1295" t="str">
        <f>'🔵クレーム'!N91</f>
        <v/>
      </c>
      <c r="AH100" s="274"/>
    </row>
    <row r="101">
      <c r="B101" s="1340" t="str">
        <f>IFERROR(__xludf.DUMMYFUNCTION("""COMPUTED_VALUE"""),"2月")</f>
        <v>2月</v>
      </c>
      <c r="C101" s="1341" t="str">
        <f>IFERROR(__xludf.DUMMYFUNCTION("""COMPUTED_VALUE"""),"19日")</f>
        <v>19日</v>
      </c>
      <c r="D101" s="1341" t="str">
        <f>IFERROR(__xludf.DUMMYFUNCTION("""COMPUTED_VALUE"""),"手配ミス")</f>
        <v>手配ミス</v>
      </c>
      <c r="E101" s="1338" t="str">
        <f>IFERROR(__xludf.DUMMYFUNCTION("""COMPUTED_VALUE"""),"ディパク")</f>
        <v>ディパク</v>
      </c>
      <c r="F101" s="1338" t="str">
        <f>IFERROR(__xludf.DUMMYFUNCTION("""COMPUTED_VALUE"""),"ウメス")</f>
        <v>ウメス</v>
      </c>
      <c r="G101" s="1339" t="str">
        <f>IFERROR(__xludf.DUMMYFUNCTION("""COMPUTED_VALUE"""),"歯ブラシ袋開いていた")</f>
        <v>歯ブラシ袋開いていた</v>
      </c>
      <c r="H101" s="220"/>
      <c r="I101" s="220"/>
      <c r="J101" s="5"/>
      <c r="K101" s="1282"/>
      <c r="L101" s="1282"/>
      <c r="O101" s="1292" t="s">
        <v>67</v>
      </c>
      <c r="P101" s="1292" t="s">
        <v>109</v>
      </c>
      <c r="Q101" s="1292" t="s">
        <v>29</v>
      </c>
      <c r="R101" s="1293"/>
      <c r="S101" s="1292"/>
      <c r="T101" s="1292"/>
      <c r="U101" s="1294" t="s">
        <v>1027</v>
      </c>
      <c r="W101" s="1293" t="str">
        <f>'🔵クレーム'!C92</f>
        <v/>
      </c>
      <c r="X101" s="1293" t="str">
        <f>'🔵クレーム'!D92</f>
        <v/>
      </c>
      <c r="Y101" s="1292" t="str">
        <f>'🔵クレーム'!I92</f>
        <v/>
      </c>
      <c r="Z101" s="1293" t="str">
        <f>'🔵クレーム'!J92</f>
        <v/>
      </c>
      <c r="AA101" s="1293" t="str">
        <f>'🔵クレーム'!K92</f>
        <v/>
      </c>
      <c r="AB101" s="1293" t="str">
        <f>'🔵クレーム'!L92</f>
        <v/>
      </c>
      <c r="AC101" s="1295" t="str">
        <f>'🔵クレーム'!N92</f>
        <v/>
      </c>
      <c r="AH101" s="274"/>
    </row>
    <row r="102">
      <c r="B102" s="1340" t="str">
        <f>IFERROR(__xludf.DUMMYFUNCTION("""COMPUTED_VALUE"""),"2月")</f>
        <v>2月</v>
      </c>
      <c r="C102" s="1341" t="str">
        <f>IFERROR(__xludf.DUMMYFUNCTION("""COMPUTED_VALUE"""),"23日")</f>
        <v>23日</v>
      </c>
      <c r="D102" s="1341" t="str">
        <f>IFERROR(__xludf.DUMMYFUNCTION("""COMPUTED_VALUE"""),"残置")</f>
        <v>残置</v>
      </c>
      <c r="E102" s="1338" t="str">
        <f>IFERROR(__xludf.DUMMYFUNCTION("""COMPUTED_VALUE"""),"ディパク")</f>
        <v>ディパク</v>
      </c>
      <c r="F102" s="1338" t="str">
        <f>IFERROR(__xludf.DUMMYFUNCTION("""COMPUTED_VALUE"""),"リナ")</f>
        <v>リナ</v>
      </c>
      <c r="G102" s="1339" t="str">
        <f>IFERROR(__xludf.DUMMYFUNCTION("""COMPUTED_VALUE"""),"ベットにネイルが落ちていた")</f>
        <v>ベットにネイルが落ちていた</v>
      </c>
      <c r="H102" s="220"/>
      <c r="I102" s="220"/>
      <c r="J102" s="5"/>
      <c r="K102" s="1282"/>
      <c r="L102" s="1282"/>
      <c r="O102" s="1292" t="s">
        <v>67</v>
      </c>
      <c r="P102" s="1292" t="s">
        <v>109</v>
      </c>
      <c r="Q102" s="1292" t="s">
        <v>29</v>
      </c>
      <c r="R102" s="1293"/>
      <c r="S102" s="1292"/>
      <c r="T102" s="1292"/>
      <c r="U102" s="1294" t="s">
        <v>1028</v>
      </c>
      <c r="W102" s="1293" t="str">
        <f>'🔵クレーム'!C93</f>
        <v/>
      </c>
      <c r="X102" s="1293" t="str">
        <f>'🔵クレーム'!D93</f>
        <v/>
      </c>
      <c r="Y102" s="1292" t="str">
        <f>'🔵クレーム'!I93</f>
        <v/>
      </c>
      <c r="Z102" s="1293" t="str">
        <f>'🔵クレーム'!J93</f>
        <v/>
      </c>
      <c r="AA102" s="1293" t="str">
        <f>'🔵クレーム'!K93</f>
        <v/>
      </c>
      <c r="AB102" s="1293" t="str">
        <f>'🔵クレーム'!L93</f>
        <v/>
      </c>
      <c r="AC102" s="1295" t="str">
        <f>'🔵クレーム'!N93</f>
        <v/>
      </c>
      <c r="AH102" s="274"/>
    </row>
    <row r="103">
      <c r="B103" s="1340" t="str">
        <f>IFERROR(__xludf.DUMMYFUNCTION("""COMPUTED_VALUE"""),"2月")</f>
        <v>2月</v>
      </c>
      <c r="C103" s="1341" t="str">
        <f>IFERROR(__xludf.DUMMYFUNCTION("""COMPUTED_VALUE"""),"28日")</f>
        <v>28日</v>
      </c>
      <c r="D103" s="1341" t="str">
        <f>IFERROR(__xludf.DUMMYFUNCTION("""COMPUTED_VALUE"""),"残置")</f>
        <v>残置</v>
      </c>
      <c r="E103" s="1338" t="str">
        <f>IFERROR(__xludf.DUMMYFUNCTION("""COMPUTED_VALUE"""),"ジェ")</f>
        <v>ジェ</v>
      </c>
      <c r="F103" s="1338" t="str">
        <f>IFERROR(__xludf.DUMMYFUNCTION("""COMPUTED_VALUE"""),"バワニ")</f>
        <v>バワニ</v>
      </c>
      <c r="G103" s="1339" t="str">
        <f>IFERROR(__xludf.DUMMYFUNCTION("""COMPUTED_VALUE"""),"金庫に前泊者の物が入っていた")</f>
        <v>金庫に前泊者の物が入っていた</v>
      </c>
      <c r="H103" s="220"/>
      <c r="I103" s="220"/>
      <c r="J103" s="5"/>
      <c r="K103" s="1282"/>
      <c r="L103" s="1282"/>
      <c r="O103" s="1292" t="s">
        <v>67</v>
      </c>
      <c r="P103" s="1292" t="s">
        <v>980</v>
      </c>
      <c r="Q103" s="1292" t="s">
        <v>39</v>
      </c>
      <c r="R103" s="1293"/>
      <c r="S103" s="1292" t="s">
        <v>196</v>
      </c>
      <c r="T103" s="1292" t="s">
        <v>488</v>
      </c>
      <c r="U103" s="1294" t="s">
        <v>1029</v>
      </c>
      <c r="W103" s="1293" t="str">
        <f>'🔵クレーム'!C94</f>
        <v/>
      </c>
      <c r="X103" s="1293" t="str">
        <f>'🔵クレーム'!D94</f>
        <v/>
      </c>
      <c r="Y103" s="1292" t="str">
        <f>'🔵クレーム'!I94</f>
        <v/>
      </c>
      <c r="Z103" s="1293" t="str">
        <f>'🔵クレーム'!J94</f>
        <v/>
      </c>
      <c r="AA103" s="1293" t="str">
        <f>'🔵クレーム'!K94</f>
        <v/>
      </c>
      <c r="AB103" s="1293" t="str">
        <f>'🔵クレーム'!L94</f>
        <v/>
      </c>
      <c r="AC103" s="1295" t="str">
        <f>'🔵クレーム'!N94</f>
        <v/>
      </c>
      <c r="AH103" s="274"/>
    </row>
    <row r="104">
      <c r="B104" s="1340" t="str">
        <f>IFERROR(__xludf.DUMMYFUNCTION("""COMPUTED_VALUE"""),"3月")</f>
        <v>3月</v>
      </c>
      <c r="C104" s="1341" t="str">
        <f>IFERROR(__xludf.DUMMYFUNCTION("""COMPUTED_VALUE"""),"13日")</f>
        <v>13日</v>
      </c>
      <c r="D104" s="1341" t="str">
        <f>IFERROR(__xludf.DUMMYFUNCTION("""COMPUTED_VALUE"""),"その他")</f>
        <v>その他</v>
      </c>
      <c r="E104" s="1338" t="str">
        <f>IFERROR(__xludf.DUMMYFUNCTION("""COMPUTED_VALUE"""),"ディパク")</f>
        <v>ディパク</v>
      </c>
      <c r="F104" s="1338" t="str">
        <f>IFERROR(__xludf.DUMMYFUNCTION("""COMPUTED_VALUE"""),"ギタ")</f>
        <v>ギタ</v>
      </c>
      <c r="G104" s="1339" t="str">
        <f>IFERROR(__xludf.DUMMYFUNCTION("""COMPUTED_VALUE"""),"未掃部屋を清掃してしまった")</f>
        <v>未掃部屋を清掃してしまった</v>
      </c>
      <c r="H104" s="220"/>
      <c r="I104" s="220"/>
      <c r="J104" s="5"/>
      <c r="K104" s="1282"/>
      <c r="L104" s="1282"/>
      <c r="O104" s="1292" t="s">
        <v>67</v>
      </c>
      <c r="P104" s="1292" t="s">
        <v>980</v>
      </c>
      <c r="Q104" s="1292" t="s">
        <v>42</v>
      </c>
      <c r="R104" s="1293"/>
      <c r="S104" s="1292" t="s">
        <v>196</v>
      </c>
      <c r="T104" s="1292" t="s">
        <v>488</v>
      </c>
      <c r="U104" s="1294" t="s">
        <v>1030</v>
      </c>
      <c r="W104" s="1293" t="str">
        <f>'🔵クレーム'!C95</f>
        <v/>
      </c>
      <c r="X104" s="1293" t="str">
        <f>'🔵クレーム'!D95</f>
        <v/>
      </c>
      <c r="Y104" s="1292" t="str">
        <f>'🔵クレーム'!I95</f>
        <v/>
      </c>
      <c r="Z104" s="1293" t="str">
        <f>'🔵クレーム'!J95</f>
        <v/>
      </c>
      <c r="AA104" s="1293" t="str">
        <f>'🔵クレーム'!K95</f>
        <v/>
      </c>
      <c r="AB104" s="1293" t="str">
        <f>'🔵クレーム'!L95</f>
        <v/>
      </c>
      <c r="AC104" s="1295" t="str">
        <f>'🔵クレーム'!N95</f>
        <v/>
      </c>
      <c r="AH104" s="274"/>
    </row>
    <row r="105">
      <c r="B105" s="1340" t="str">
        <f>IFERROR(__xludf.DUMMYFUNCTION("""COMPUTED_VALUE"""),"3月")</f>
        <v>3月</v>
      </c>
      <c r="C105" s="1341" t="str">
        <f>IFERROR(__xludf.DUMMYFUNCTION("""COMPUTED_VALUE"""),"13日")</f>
        <v>13日</v>
      </c>
      <c r="D105" s="1341" t="str">
        <f>IFERROR(__xludf.DUMMYFUNCTION("""COMPUTED_VALUE"""),"残置")</f>
        <v>残置</v>
      </c>
      <c r="E105" s="1338" t="str">
        <f>IFERROR(__xludf.DUMMYFUNCTION("""COMPUTED_VALUE"""),"サムジャナ")</f>
        <v>サムジャナ</v>
      </c>
      <c r="F105" s="1338" t="str">
        <f>IFERROR(__xludf.DUMMYFUNCTION("""COMPUTED_VALUE"""),"サルミラ")</f>
        <v>サルミラ</v>
      </c>
      <c r="G105" s="1339" t="str">
        <f>IFERROR(__xludf.DUMMYFUNCTION("""COMPUTED_VALUE"""),"窓のすみにライターがあった")</f>
        <v>窓のすみにライターがあった</v>
      </c>
      <c r="H105" s="220"/>
      <c r="I105" s="220"/>
      <c r="J105" s="5"/>
      <c r="K105" s="1282"/>
      <c r="L105" s="1282"/>
      <c r="O105" s="1292" t="s">
        <v>67</v>
      </c>
      <c r="P105" s="1292" t="s">
        <v>980</v>
      </c>
      <c r="Q105" s="1292" t="s">
        <v>29</v>
      </c>
      <c r="R105" s="1293"/>
      <c r="S105" s="1292"/>
      <c r="T105" s="1292"/>
      <c r="U105" s="1294" t="s">
        <v>1031</v>
      </c>
      <c r="W105" s="1293" t="str">
        <f>'🔵クレーム'!C96</f>
        <v/>
      </c>
      <c r="X105" s="1293" t="str">
        <f>'🔵クレーム'!D96</f>
        <v/>
      </c>
      <c r="Y105" s="1292" t="str">
        <f>'🔵クレーム'!I96</f>
        <v/>
      </c>
      <c r="Z105" s="1293" t="str">
        <f>'🔵クレーム'!J96</f>
        <v/>
      </c>
      <c r="AA105" s="1293" t="str">
        <f>'🔵クレーム'!K96</f>
        <v/>
      </c>
      <c r="AB105" s="1293" t="str">
        <f>'🔵クレーム'!L96</f>
        <v/>
      </c>
      <c r="AC105" s="1295" t="str">
        <f>'🔵クレーム'!N96</f>
        <v/>
      </c>
      <c r="AH105" s="274"/>
    </row>
    <row r="106">
      <c r="B106" s="1340" t="str">
        <f>IFERROR(__xludf.DUMMYFUNCTION("""COMPUTED_VALUE"""),"3月")</f>
        <v>3月</v>
      </c>
      <c r="C106" s="1341" t="str">
        <f>IFERROR(__xludf.DUMMYFUNCTION("""COMPUTED_VALUE"""),"13日")</f>
        <v>13日</v>
      </c>
      <c r="D106" s="1341" t="str">
        <f>IFERROR(__xludf.DUMMYFUNCTION("""COMPUTED_VALUE"""),"手配ミス")</f>
        <v>手配ミス</v>
      </c>
      <c r="E106" s="1338" t="str">
        <f>IFERROR(__xludf.DUMMYFUNCTION("""COMPUTED_VALUE"""),"ジェ")</f>
        <v>ジェ</v>
      </c>
      <c r="F106" s="1338"/>
      <c r="G106" s="1339" t="str">
        <f>IFERROR(__xludf.DUMMYFUNCTION("""COMPUTED_VALUE"""),"点検完了していなかった")</f>
        <v>点検完了していなかった</v>
      </c>
      <c r="H106" s="220"/>
      <c r="I106" s="220"/>
      <c r="J106" s="5"/>
      <c r="K106" s="1282"/>
      <c r="L106" s="1282"/>
      <c r="O106" s="1292" t="s">
        <v>67</v>
      </c>
      <c r="P106" s="1292" t="s">
        <v>145</v>
      </c>
      <c r="Q106" s="1292" t="s">
        <v>29</v>
      </c>
      <c r="R106" s="1293"/>
      <c r="S106" s="1292"/>
      <c r="T106" s="1292"/>
      <c r="U106" s="1294" t="s">
        <v>1032</v>
      </c>
      <c r="W106" s="1293" t="str">
        <f>'🔵クレーム'!C97</f>
        <v/>
      </c>
      <c r="X106" s="1293" t="str">
        <f>'🔵クレーム'!D97</f>
        <v/>
      </c>
      <c r="Y106" s="1292" t="str">
        <f>'🔵クレーム'!I97</f>
        <v/>
      </c>
      <c r="Z106" s="1293" t="str">
        <f>'🔵クレーム'!J97</f>
        <v/>
      </c>
      <c r="AA106" s="1293" t="str">
        <f>'🔵クレーム'!K97</f>
        <v/>
      </c>
      <c r="AB106" s="1293" t="str">
        <f>'🔵クレーム'!L97</f>
        <v/>
      </c>
      <c r="AC106" s="1295" t="str">
        <f>'🔵クレーム'!N97</f>
        <v/>
      </c>
      <c r="AH106" s="274"/>
    </row>
    <row r="107">
      <c r="B107" s="1340" t="str">
        <f>IFERROR(__xludf.DUMMYFUNCTION("""COMPUTED_VALUE"""),"3月")</f>
        <v>3月</v>
      </c>
      <c r="C107" s="1341" t="str">
        <f>IFERROR(__xludf.DUMMYFUNCTION("""COMPUTED_VALUE"""),"17日")</f>
        <v>17日</v>
      </c>
      <c r="D107" s="1341" t="str">
        <f>IFERROR(__xludf.DUMMYFUNCTION("""COMPUTED_VALUE"""),"セット漏れ")</f>
        <v>セット漏れ</v>
      </c>
      <c r="E107" s="1338" t="str">
        <f>IFERROR(__xludf.DUMMYFUNCTION("""COMPUTED_VALUE"""),"サムジャナ")</f>
        <v>サムジャナ</v>
      </c>
      <c r="F107" s="1338" t="str">
        <f>IFERROR(__xludf.DUMMYFUNCTION("""COMPUTED_VALUE"""),"サンティ")</f>
        <v>サンティ</v>
      </c>
      <c r="G107" s="1339" t="str">
        <f>IFERROR(__xludf.DUMMYFUNCTION("""COMPUTED_VALUE"""),"帰館時ボディソープのボトルが無かった。")</f>
        <v>帰館時ボディソープのボトルが無かった。</v>
      </c>
      <c r="H107" s="220"/>
      <c r="I107" s="220"/>
      <c r="J107" s="5"/>
      <c r="K107" s="1282"/>
      <c r="L107" s="1282"/>
      <c r="O107" s="1292" t="s">
        <v>67</v>
      </c>
      <c r="P107" s="1292" t="s">
        <v>170</v>
      </c>
      <c r="Q107" s="1292" t="s">
        <v>39</v>
      </c>
      <c r="R107" s="1293"/>
      <c r="S107" s="1292" t="s">
        <v>196</v>
      </c>
      <c r="T107" s="1292" t="s">
        <v>497</v>
      </c>
      <c r="U107" s="1294" t="s">
        <v>1033</v>
      </c>
      <c r="W107" s="1293" t="str">
        <f>'🔵クレーム'!C98</f>
        <v/>
      </c>
      <c r="X107" s="1293" t="str">
        <f>'🔵クレーム'!D98</f>
        <v/>
      </c>
      <c r="Y107" s="1292" t="str">
        <f>'🔵クレーム'!I98</f>
        <v/>
      </c>
      <c r="Z107" s="1293" t="str">
        <f>'🔵クレーム'!J98</f>
        <v/>
      </c>
      <c r="AA107" s="1293" t="str">
        <f>'🔵クレーム'!K98</f>
        <v/>
      </c>
      <c r="AB107" s="1293" t="str">
        <f>'🔵クレーム'!L98</f>
        <v/>
      </c>
      <c r="AC107" s="1295" t="str">
        <f>'🔵クレーム'!N98</f>
        <v/>
      </c>
      <c r="AH107" s="274"/>
    </row>
    <row r="108">
      <c r="B108" s="1340" t="str">
        <f>IFERROR(__xludf.DUMMYFUNCTION("""COMPUTED_VALUE"""),"3月")</f>
        <v>3月</v>
      </c>
      <c r="C108" s="1341" t="str">
        <f>IFERROR(__xludf.DUMMYFUNCTION("""COMPUTED_VALUE"""),"19日")</f>
        <v>19日</v>
      </c>
      <c r="D108" s="1341" t="str">
        <f>IFERROR(__xludf.DUMMYFUNCTION("""COMPUTED_VALUE"""),"残置")</f>
        <v>残置</v>
      </c>
      <c r="E108" s="1338" t="str">
        <f>IFERROR(__xludf.DUMMYFUNCTION("""COMPUTED_VALUE"""),"ディパク")</f>
        <v>ディパク</v>
      </c>
      <c r="F108" s="1338" t="str">
        <f>IFERROR(__xludf.DUMMYFUNCTION("""COMPUTED_VALUE"""),"サンデア")</f>
        <v>サンデア</v>
      </c>
      <c r="G108" s="1339" t="str">
        <f>IFERROR(__xludf.DUMMYFUNCTION("""COMPUTED_VALUE"""),"ベッドの下にペットボトルがあった。")</f>
        <v>ベッドの下にペットボトルがあった。</v>
      </c>
      <c r="H108" s="220"/>
      <c r="I108" s="220"/>
      <c r="J108" s="5"/>
      <c r="K108" s="1282"/>
      <c r="L108" s="1282"/>
      <c r="O108" s="1292" t="s">
        <v>67</v>
      </c>
      <c r="P108" s="1292" t="s">
        <v>792</v>
      </c>
      <c r="Q108" s="1292" t="s">
        <v>29</v>
      </c>
      <c r="R108" s="1293"/>
      <c r="S108" s="1292"/>
      <c r="T108" s="1292"/>
      <c r="U108" s="1294" t="s">
        <v>1034</v>
      </c>
      <c r="W108" s="1293" t="str">
        <f>'🔵クレーム'!C99</f>
        <v/>
      </c>
      <c r="X108" s="1293" t="str">
        <f>'🔵クレーム'!D99</f>
        <v/>
      </c>
      <c r="Y108" s="1292" t="str">
        <f>'🔵クレーム'!I99</f>
        <v/>
      </c>
      <c r="Z108" s="1293" t="str">
        <f>'🔵クレーム'!J99</f>
        <v/>
      </c>
      <c r="AA108" s="1293" t="str">
        <f>'🔵クレーム'!K99</f>
        <v/>
      </c>
      <c r="AB108" s="1293" t="str">
        <f>'🔵クレーム'!L99</f>
        <v/>
      </c>
      <c r="AC108" s="1295" t="str">
        <f>'🔵クレーム'!N99</f>
        <v/>
      </c>
      <c r="AH108" s="274"/>
    </row>
    <row r="109">
      <c r="B109" s="1340" t="str">
        <f>IFERROR(__xludf.DUMMYFUNCTION("""COMPUTED_VALUE"""),"3月")</f>
        <v>3月</v>
      </c>
      <c r="C109" s="1341" t="str">
        <f>IFERROR(__xludf.DUMMYFUNCTION("""COMPUTED_VALUE"""),"21日")</f>
        <v>21日</v>
      </c>
      <c r="D109" s="1341" t="str">
        <f>IFERROR(__xludf.DUMMYFUNCTION("""COMPUTED_VALUE"""),"汚れ")</f>
        <v>汚れ</v>
      </c>
      <c r="E109" s="1338" t="str">
        <f>IFERROR(__xludf.DUMMYFUNCTION("""COMPUTED_VALUE"""),"ジェ")</f>
        <v>ジェ</v>
      </c>
      <c r="F109" s="1338" t="str">
        <f>IFERROR(__xludf.DUMMYFUNCTION("""COMPUTED_VALUE"""),"サムジャナ")</f>
        <v>サムジャナ</v>
      </c>
      <c r="G109" s="1339" t="str">
        <f>IFERROR(__xludf.DUMMYFUNCTION("""COMPUTED_VALUE"""),"エアコンのリモコンが汚れている")</f>
        <v>エアコンのリモコンが汚れている</v>
      </c>
      <c r="H109" s="220"/>
      <c r="I109" s="220"/>
      <c r="J109" s="5"/>
      <c r="K109" s="1282"/>
      <c r="L109" s="1282"/>
      <c r="O109" s="1292" t="s">
        <v>67</v>
      </c>
      <c r="P109" s="1292" t="s">
        <v>219</v>
      </c>
      <c r="Q109" s="1292" t="s">
        <v>29</v>
      </c>
      <c r="R109" s="1293"/>
      <c r="S109" s="1292"/>
      <c r="T109" s="1292"/>
      <c r="U109" s="1294" t="s">
        <v>1035</v>
      </c>
      <c r="W109" s="1293" t="str">
        <f>'🔵クレーム'!C100</f>
        <v/>
      </c>
      <c r="X109" s="1293" t="str">
        <f>'🔵クレーム'!D100</f>
        <v/>
      </c>
      <c r="Y109" s="1292" t="str">
        <f>'🔵クレーム'!I100</f>
        <v/>
      </c>
      <c r="Z109" s="1293" t="str">
        <f>'🔵クレーム'!J100</f>
        <v/>
      </c>
      <c r="AA109" s="1293" t="str">
        <f>'🔵クレーム'!K100</f>
        <v/>
      </c>
      <c r="AB109" s="1293" t="str">
        <f>'🔵クレーム'!L100</f>
        <v/>
      </c>
      <c r="AC109" s="1295" t="str">
        <f>'🔵クレーム'!N100</f>
        <v/>
      </c>
      <c r="AH109" s="274"/>
    </row>
    <row r="110">
      <c r="B110" s="1340" t="str">
        <f>IFERROR(__xludf.DUMMYFUNCTION("""COMPUTED_VALUE"""),"3月")</f>
        <v>3月</v>
      </c>
      <c r="C110" s="1341" t="str">
        <f>IFERROR(__xludf.DUMMYFUNCTION("""COMPUTED_VALUE"""),"25日")</f>
        <v>25日</v>
      </c>
      <c r="D110" s="1341" t="str">
        <f>IFERROR(__xludf.DUMMYFUNCTION("""COMPUTED_VALUE"""),"セット漏れ")</f>
        <v>セット漏れ</v>
      </c>
      <c r="E110" s="1338" t="str">
        <f>IFERROR(__xludf.DUMMYFUNCTION("""COMPUTED_VALUE"""),"ジェ")</f>
        <v>ジェ</v>
      </c>
      <c r="F110" s="1338" t="str">
        <f>IFERROR(__xludf.DUMMYFUNCTION("""COMPUTED_VALUE"""),"カビタ")</f>
        <v>カビタ</v>
      </c>
      <c r="G110" s="1339" t="str">
        <f>IFERROR(__xludf.DUMMYFUNCTION("""COMPUTED_VALUE"""),"スリッパがなかった")</f>
        <v>スリッパがなかった</v>
      </c>
      <c r="H110" s="220"/>
      <c r="I110" s="220"/>
      <c r="J110" s="5"/>
      <c r="K110" s="1282"/>
      <c r="L110" s="1282"/>
      <c r="O110" s="1292" t="s">
        <v>69</v>
      </c>
      <c r="P110" s="1292" t="s">
        <v>184</v>
      </c>
      <c r="Q110" s="1292" t="s">
        <v>40</v>
      </c>
      <c r="R110" s="1293"/>
      <c r="S110" s="1292" t="s">
        <v>639</v>
      </c>
      <c r="T110" s="1292" t="s">
        <v>190</v>
      </c>
      <c r="U110" s="1294" t="s">
        <v>1036</v>
      </c>
      <c r="W110" s="1293" t="str">
        <f>'🔵クレーム'!C101</f>
        <v/>
      </c>
      <c r="X110" s="1293" t="str">
        <f>'🔵クレーム'!D101</f>
        <v/>
      </c>
      <c r="Y110" s="1292" t="str">
        <f>'🔵クレーム'!I101</f>
        <v/>
      </c>
      <c r="Z110" s="1293" t="str">
        <f>'🔵クレーム'!J101</f>
        <v/>
      </c>
      <c r="AA110" s="1293" t="str">
        <f>'🔵クレーム'!K101</f>
        <v/>
      </c>
      <c r="AB110" s="1293" t="str">
        <f>'🔵クレーム'!L101</f>
        <v/>
      </c>
      <c r="AC110" s="1295" t="str">
        <f>'🔵クレーム'!N101</f>
        <v/>
      </c>
      <c r="AH110" s="274"/>
    </row>
    <row r="111">
      <c r="B111" s="1340" t="str">
        <f>IFERROR(__xludf.DUMMYFUNCTION("""COMPUTED_VALUE"""),"3月")</f>
        <v>3月</v>
      </c>
      <c r="C111" s="1341" t="str">
        <f>IFERROR(__xludf.DUMMYFUNCTION("""COMPUTED_VALUE"""),"28日")</f>
        <v>28日</v>
      </c>
      <c r="D111" s="1341" t="str">
        <f>IFERROR(__xludf.DUMMYFUNCTION("""COMPUTED_VALUE"""),"セット漏れ")</f>
        <v>セット漏れ</v>
      </c>
      <c r="E111" s="1338" t="str">
        <f>IFERROR(__xludf.DUMMYFUNCTION("""COMPUTED_VALUE"""),"アルマ")</f>
        <v>アルマ</v>
      </c>
      <c r="F111" s="1338" t="str">
        <f>IFERROR(__xludf.DUMMYFUNCTION("""COMPUTED_VALUE"""),"モハン")</f>
        <v>モハン</v>
      </c>
      <c r="G111" s="1339" t="str">
        <f>IFERROR(__xludf.DUMMYFUNCTION("""COMPUTED_VALUE"""),"ハブラシない")</f>
        <v>ハブラシない</v>
      </c>
      <c r="H111" s="220"/>
      <c r="I111" s="220"/>
      <c r="J111" s="5"/>
      <c r="K111" s="1282"/>
      <c r="L111" s="1282"/>
      <c r="O111" s="1292" t="s">
        <v>69</v>
      </c>
      <c r="P111" s="1292" t="s">
        <v>996</v>
      </c>
      <c r="Q111" s="1292" t="s">
        <v>39</v>
      </c>
      <c r="R111" s="1293"/>
      <c r="S111" s="1292" t="s">
        <v>196</v>
      </c>
      <c r="T111" s="1292" t="s">
        <v>157</v>
      </c>
      <c r="U111" s="1294" t="s">
        <v>1037</v>
      </c>
      <c r="W111" s="1293" t="str">
        <f>'🔵クレーム'!C102</f>
        <v/>
      </c>
      <c r="X111" s="1293" t="str">
        <f>'🔵クレーム'!D102</f>
        <v/>
      </c>
      <c r="Y111" s="1292" t="str">
        <f>'🔵クレーム'!I102</f>
        <v/>
      </c>
      <c r="Z111" s="1293" t="str">
        <f>'🔵クレーム'!J102</f>
        <v/>
      </c>
      <c r="AA111" s="1293" t="str">
        <f>'🔵クレーム'!K102</f>
        <v/>
      </c>
      <c r="AB111" s="1293" t="str">
        <f>'🔵クレーム'!L102</f>
        <v/>
      </c>
      <c r="AC111" s="1295" t="str">
        <f>'🔵クレーム'!N102</f>
        <v/>
      </c>
      <c r="AH111" s="274"/>
    </row>
    <row r="112">
      <c r="B112" s="1340" t="str">
        <f>IFERROR(__xludf.DUMMYFUNCTION("""COMPUTED_VALUE"""),"3月")</f>
        <v>3月</v>
      </c>
      <c r="C112" s="1341" t="str">
        <f>IFERROR(__xludf.DUMMYFUNCTION("""COMPUTED_VALUE"""),"28日")</f>
        <v>28日</v>
      </c>
      <c r="D112" s="1341" t="str">
        <f>IFERROR(__xludf.DUMMYFUNCTION("""COMPUTED_VALUE"""),"その他")</f>
        <v>その他</v>
      </c>
      <c r="E112" s="1338" t="str">
        <f>IFERROR(__xludf.DUMMYFUNCTION("""COMPUTED_VALUE"""),"ディパク")</f>
        <v>ディパク</v>
      </c>
      <c r="F112" s="1338" t="str">
        <f>IFERROR(__xludf.DUMMYFUNCTION("""COMPUTED_VALUE"""),"ナビナ")</f>
        <v>ナビナ</v>
      </c>
      <c r="G112" s="1339" t="str">
        <f>IFERROR(__xludf.DUMMYFUNCTION("""COMPUTED_VALUE"""),"浴槽水貯めたらゴミが浮いてきた")</f>
        <v>浴槽水貯めたらゴミが浮いてきた</v>
      </c>
      <c r="H112" s="220"/>
      <c r="I112" s="220"/>
      <c r="J112" s="5"/>
      <c r="K112" s="1282"/>
      <c r="L112" s="1282"/>
      <c r="O112" s="1292" t="s">
        <v>69</v>
      </c>
      <c r="P112" s="1292" t="s">
        <v>942</v>
      </c>
      <c r="Q112" s="1292" t="s">
        <v>39</v>
      </c>
      <c r="R112" s="1293"/>
      <c r="S112" s="1292" t="s">
        <v>102</v>
      </c>
      <c r="T112" s="1292" t="s">
        <v>498</v>
      </c>
      <c r="U112" s="1294" t="s">
        <v>1038</v>
      </c>
      <c r="W112" s="1293" t="str">
        <f>'🔵クレーム'!C103</f>
        <v/>
      </c>
      <c r="X112" s="1293" t="str">
        <f>'🔵クレーム'!D103</f>
        <v/>
      </c>
      <c r="Y112" s="1292" t="str">
        <f>'🔵クレーム'!I103</f>
        <v/>
      </c>
      <c r="Z112" s="1293" t="str">
        <f>'🔵クレーム'!J103</f>
        <v/>
      </c>
      <c r="AA112" s="1293" t="str">
        <f>'🔵クレーム'!K103</f>
        <v/>
      </c>
      <c r="AB112" s="1293" t="str">
        <f>'🔵クレーム'!L103</f>
        <v/>
      </c>
      <c r="AC112" s="1295" t="str">
        <f>'🔵クレーム'!N103</f>
        <v/>
      </c>
      <c r="AH112" s="274"/>
    </row>
    <row r="113">
      <c r="B113" s="1270" t="str">
        <f>IFERROR(__xludf.DUMMYFUNCTION("""COMPUTED_VALUE"""),"3月")</f>
        <v>3月</v>
      </c>
      <c r="C113" s="1270" t="str">
        <f>IFERROR(__xludf.DUMMYFUNCTION("""COMPUTED_VALUE"""),"31日")</f>
        <v>31日</v>
      </c>
      <c r="D113" s="1270" t="str">
        <f>IFERROR(__xludf.DUMMYFUNCTION("""COMPUTED_VALUE"""),"汚れ")</f>
        <v>汚れ</v>
      </c>
      <c r="E113" s="1338"/>
      <c r="F113" s="1338" t="str">
        <f>IFERROR(__xludf.DUMMYFUNCTION("""COMPUTED_VALUE"""),"ジェイ")</f>
        <v>ジェイ</v>
      </c>
      <c r="G113" s="1339" t="str">
        <f>IFERROR(__xludf.DUMMYFUNCTION("""COMPUTED_VALUE"""),"デュベカバーに赤いシミ")</f>
        <v>デュベカバーに赤いシミ</v>
      </c>
      <c r="H113" s="220"/>
      <c r="I113" s="220"/>
      <c r="J113" s="5"/>
      <c r="K113" s="1282"/>
      <c r="L113" s="1282"/>
      <c r="O113" s="1292" t="s">
        <v>69</v>
      </c>
      <c r="P113" s="1292" t="s">
        <v>942</v>
      </c>
      <c r="Q113" s="1292" t="s">
        <v>29</v>
      </c>
      <c r="R113" s="1293"/>
      <c r="S113" s="1292"/>
      <c r="T113" s="1292"/>
      <c r="U113" s="1294" t="s">
        <v>1039</v>
      </c>
      <c r="W113" s="1293" t="str">
        <f>'🔵クレーム'!C104</f>
        <v/>
      </c>
      <c r="X113" s="1293" t="str">
        <f>'🔵クレーム'!D104</f>
        <v/>
      </c>
      <c r="Y113" s="1292" t="str">
        <f>'🔵クレーム'!I104</f>
        <v/>
      </c>
      <c r="Z113" s="1293" t="str">
        <f>'🔵クレーム'!J104</f>
        <v/>
      </c>
      <c r="AA113" s="1293" t="str">
        <f>'🔵クレーム'!K104</f>
        <v/>
      </c>
      <c r="AB113" s="1293" t="str">
        <f>'🔵クレーム'!L104</f>
        <v/>
      </c>
      <c r="AC113" s="1295" t="str">
        <f>'🔵クレーム'!N104</f>
        <v/>
      </c>
      <c r="AH113" s="274"/>
    </row>
    <row r="114">
      <c r="B114" s="1270" t="str">
        <f>IFERROR(__xludf.DUMMYFUNCTION("""COMPUTED_VALUE"""),"4月")</f>
        <v>4月</v>
      </c>
      <c r="C114" s="1270" t="str">
        <f>IFERROR(__xludf.DUMMYFUNCTION("""COMPUTED_VALUE"""),"1日")</f>
        <v>1日</v>
      </c>
      <c r="D114" s="1270" t="str">
        <f>IFERROR(__xludf.DUMMYFUNCTION("""COMPUTED_VALUE"""),"汚れ")</f>
        <v>汚れ</v>
      </c>
      <c r="E114" s="1338" t="str">
        <f>IFERROR(__xludf.DUMMYFUNCTION("""COMPUTED_VALUE"""),"サムジャナ")</f>
        <v>サムジャナ</v>
      </c>
      <c r="F114" s="1338" t="str">
        <f>IFERROR(__xludf.DUMMYFUNCTION("""COMPUTED_VALUE"""),"プリタ")</f>
        <v>プリタ</v>
      </c>
      <c r="G114" s="1339" t="str">
        <f>IFERROR(__xludf.DUMMYFUNCTION("""COMPUTED_VALUE"""),"窓に落書きがある")</f>
        <v>窓に落書きがある</v>
      </c>
      <c r="H114" s="220"/>
      <c r="I114" s="220"/>
      <c r="J114" s="5"/>
      <c r="K114" s="1282"/>
      <c r="L114" s="1282"/>
      <c r="O114" s="1292" t="s">
        <v>69</v>
      </c>
      <c r="P114" s="1292" t="s">
        <v>938</v>
      </c>
      <c r="Q114" s="1292" t="s">
        <v>41</v>
      </c>
      <c r="R114" s="1293"/>
      <c r="S114" s="1292" t="s">
        <v>102</v>
      </c>
      <c r="T114" s="1292"/>
      <c r="U114" s="1294" t="s">
        <v>1040</v>
      </c>
      <c r="W114" s="1293" t="str">
        <f>'🔵クレーム'!C105</f>
        <v/>
      </c>
      <c r="X114" s="1293" t="str">
        <f>'🔵クレーム'!D105</f>
        <v/>
      </c>
      <c r="Y114" s="1292" t="str">
        <f>'🔵クレーム'!I105</f>
        <v/>
      </c>
      <c r="Z114" s="1293" t="str">
        <f>'🔵クレーム'!J105</f>
        <v/>
      </c>
      <c r="AA114" s="1293" t="str">
        <f>'🔵クレーム'!K105</f>
        <v/>
      </c>
      <c r="AB114" s="1293" t="str">
        <f>'🔵クレーム'!L105</f>
        <v/>
      </c>
      <c r="AC114" s="1295" t="str">
        <f>'🔵クレーム'!N105</f>
        <v/>
      </c>
      <c r="AH114" s="274"/>
    </row>
    <row r="115">
      <c r="B115" s="1270" t="str">
        <f>IFERROR(__xludf.DUMMYFUNCTION("""COMPUTED_VALUE"""),"4月")</f>
        <v>4月</v>
      </c>
      <c r="C115" s="1270" t="str">
        <f>IFERROR(__xludf.DUMMYFUNCTION("""COMPUTED_VALUE"""),"9日")</f>
        <v>9日</v>
      </c>
      <c r="D115" s="1270" t="str">
        <f>IFERROR(__xludf.DUMMYFUNCTION("""COMPUTED_VALUE"""),"汚れ")</f>
        <v>汚れ</v>
      </c>
      <c r="E115" s="1338" t="str">
        <f>IFERROR(__xludf.DUMMYFUNCTION("""COMPUTED_VALUE"""),"アルマ")</f>
        <v>アルマ</v>
      </c>
      <c r="F115" s="1338" t="str">
        <f>IFERROR(__xludf.DUMMYFUNCTION("""COMPUTED_VALUE"""),"プスカル")</f>
        <v>プスカル</v>
      </c>
      <c r="G115" s="1339" t="str">
        <f>IFERROR(__xludf.DUMMYFUNCTION("""COMPUTED_VALUE"""),"シ-ツに血がついてた。")</f>
        <v>シ-ツに血がついてた。</v>
      </c>
      <c r="H115" s="220"/>
      <c r="I115" s="220"/>
      <c r="J115" s="5"/>
      <c r="K115" s="1282"/>
      <c r="L115" s="1282"/>
      <c r="O115" s="1292" t="s">
        <v>69</v>
      </c>
      <c r="P115" s="1292" t="s">
        <v>938</v>
      </c>
      <c r="Q115" s="1292" t="s">
        <v>29</v>
      </c>
      <c r="R115" s="1293"/>
      <c r="S115" s="1292"/>
      <c r="T115" s="1292"/>
      <c r="U115" s="1294" t="s">
        <v>1041</v>
      </c>
      <c r="W115" s="1293" t="str">
        <f>'🔵クレーム'!C106</f>
        <v/>
      </c>
      <c r="X115" s="1293" t="str">
        <f>'🔵クレーム'!D106</f>
        <v/>
      </c>
      <c r="Y115" s="1292" t="str">
        <f>'🔵クレーム'!I106</f>
        <v/>
      </c>
      <c r="Z115" s="1293" t="str">
        <f>'🔵クレーム'!J106</f>
        <v/>
      </c>
      <c r="AA115" s="1293" t="str">
        <f>'🔵クレーム'!K106</f>
        <v/>
      </c>
      <c r="AB115" s="1293" t="str">
        <f>'🔵クレーム'!L106</f>
        <v/>
      </c>
      <c r="AC115" s="1295" t="str">
        <f>'🔵クレーム'!N106</f>
        <v/>
      </c>
      <c r="AH115" s="274"/>
    </row>
    <row r="116">
      <c r="B116" s="1270" t="str">
        <f>IFERROR(__xludf.DUMMYFUNCTION("""COMPUTED_VALUE"""),"4月")</f>
        <v>4月</v>
      </c>
      <c r="C116" s="1270" t="str">
        <f>IFERROR(__xludf.DUMMYFUNCTION("""COMPUTED_VALUE"""),"12日")</f>
        <v>12日</v>
      </c>
      <c r="D116" s="1270" t="str">
        <f>IFERROR(__xludf.DUMMYFUNCTION("""COMPUTED_VALUE"""),"セット漏れ")</f>
        <v>セット漏れ</v>
      </c>
      <c r="E116" s="1338" t="str">
        <f>IFERROR(__xludf.DUMMYFUNCTION("""COMPUTED_VALUE"""),"ゴマ")</f>
        <v>ゴマ</v>
      </c>
      <c r="F116" s="1338" t="str">
        <f>IFERROR(__xludf.DUMMYFUNCTION("""COMPUTED_VALUE"""),"ススマ")</f>
        <v>ススマ</v>
      </c>
      <c r="G116" s="1339" t="str">
        <f>IFERROR(__xludf.DUMMYFUNCTION("""COMPUTED_VALUE"""),"引出に記入済みのランドリー伝票が入ってた")</f>
        <v>引出に記入済みのランドリー伝票が入ってた</v>
      </c>
      <c r="H116" s="220"/>
      <c r="I116" s="220"/>
      <c r="J116" s="5"/>
      <c r="K116" s="1282"/>
      <c r="L116" s="1282"/>
      <c r="O116" s="1292" t="s">
        <v>69</v>
      </c>
      <c r="P116" s="1292" t="s">
        <v>980</v>
      </c>
      <c r="Q116" s="1292" t="s">
        <v>38</v>
      </c>
      <c r="R116" s="1293"/>
      <c r="S116" s="1292" t="s">
        <v>111</v>
      </c>
      <c r="T116" s="1292" t="s">
        <v>494</v>
      </c>
      <c r="U116" s="1294" t="s">
        <v>1042</v>
      </c>
      <c r="W116" s="1293" t="str">
        <f>'🔵クレーム'!C107</f>
        <v/>
      </c>
      <c r="X116" s="1293" t="str">
        <f>'🔵クレーム'!D107</f>
        <v/>
      </c>
      <c r="Y116" s="1292" t="str">
        <f>'🔵クレーム'!I107</f>
        <v/>
      </c>
      <c r="Z116" s="1293" t="str">
        <f>'🔵クレーム'!J107</f>
        <v/>
      </c>
      <c r="AA116" s="1293" t="str">
        <f>'🔵クレーム'!K107</f>
        <v/>
      </c>
      <c r="AB116" s="1293" t="str">
        <f>'🔵クレーム'!L107</f>
        <v/>
      </c>
      <c r="AC116" s="1295" t="str">
        <f>'🔵クレーム'!N107</f>
        <v/>
      </c>
      <c r="AH116" s="274"/>
    </row>
    <row r="117">
      <c r="B117" s="1270" t="str">
        <f>IFERROR(__xludf.DUMMYFUNCTION("""COMPUTED_VALUE"""),"4月")</f>
        <v>4月</v>
      </c>
      <c r="C117" s="1270" t="str">
        <f>IFERROR(__xludf.DUMMYFUNCTION("""COMPUTED_VALUE"""),"13日")</f>
        <v>13日</v>
      </c>
      <c r="D117" s="1270" t="str">
        <f>IFERROR(__xludf.DUMMYFUNCTION("""COMPUTED_VALUE"""),"残置")</f>
        <v>残置</v>
      </c>
      <c r="E117" s="1338" t="str">
        <f>IFERROR(__xludf.DUMMYFUNCTION("""COMPUTED_VALUE"""),"ジェ")</f>
        <v>ジェ</v>
      </c>
      <c r="F117" s="1338" t="str">
        <f>IFERROR(__xludf.DUMMYFUNCTION("""COMPUTED_VALUE"""),"スニタ")</f>
        <v>スニタ</v>
      </c>
      <c r="G117" s="1339" t="str">
        <f>IFERROR(__xludf.DUMMYFUNCTION("""COMPUTED_VALUE"""),"UB内に赤いつけ爪が落ちていた")</f>
        <v>UB内に赤いつけ爪が落ちていた</v>
      </c>
      <c r="H117" s="220"/>
      <c r="I117" s="220"/>
      <c r="J117" s="5"/>
      <c r="K117" s="1282"/>
      <c r="L117" s="1282"/>
      <c r="O117" s="1292" t="s">
        <v>69</v>
      </c>
      <c r="P117" s="1292" t="s">
        <v>1006</v>
      </c>
      <c r="Q117" s="1292" t="s">
        <v>29</v>
      </c>
      <c r="R117" s="1293"/>
      <c r="S117" s="1292"/>
      <c r="T117" s="1292"/>
      <c r="U117" s="1294" t="s">
        <v>1043</v>
      </c>
      <c r="W117" s="1293" t="str">
        <f>'🔵クレーム'!C108</f>
        <v/>
      </c>
      <c r="X117" s="1293" t="str">
        <f>'🔵クレーム'!D108</f>
        <v/>
      </c>
      <c r="Y117" s="1292" t="str">
        <f>'🔵クレーム'!I108</f>
        <v/>
      </c>
      <c r="Z117" s="1293" t="str">
        <f>'🔵クレーム'!J108</f>
        <v/>
      </c>
      <c r="AA117" s="1293" t="str">
        <f>'🔵クレーム'!K108</f>
        <v/>
      </c>
      <c r="AB117" s="1293" t="str">
        <f>'🔵クレーム'!L108</f>
        <v/>
      </c>
      <c r="AC117" s="1295" t="str">
        <f>'🔵クレーム'!N108</f>
        <v/>
      </c>
      <c r="AH117" s="274"/>
    </row>
    <row r="118">
      <c r="B118" s="1270" t="str">
        <f>IFERROR(__xludf.DUMMYFUNCTION("""COMPUTED_VALUE"""),"4月")</f>
        <v>4月</v>
      </c>
      <c r="C118" s="1270" t="str">
        <f>IFERROR(__xludf.DUMMYFUNCTION("""COMPUTED_VALUE"""),"14日")</f>
        <v>14日</v>
      </c>
      <c r="D118" s="1270" t="str">
        <f>IFERROR(__xludf.DUMMYFUNCTION("""COMPUTED_VALUE"""),"残置")</f>
        <v>残置</v>
      </c>
      <c r="E118" s="1338" t="str">
        <f>IFERROR(__xludf.DUMMYFUNCTION("""COMPUTED_VALUE"""),"アルマ")</f>
        <v>アルマ</v>
      </c>
      <c r="F118" s="1338" t="str">
        <f>IFERROR(__xludf.DUMMYFUNCTION("""COMPUTED_VALUE"""),"モハン")</f>
        <v>モハン</v>
      </c>
      <c r="G118" s="1339" t="str">
        <f>IFERROR(__xludf.DUMMYFUNCTION("""COMPUTED_VALUE"""),"前泊者のゴミが洗面所、テーブルにあった")</f>
        <v>前泊者のゴミが洗面所、テーブルにあった</v>
      </c>
      <c r="H118" s="220"/>
      <c r="I118" s="220"/>
      <c r="J118" s="5"/>
      <c r="K118" s="1282"/>
      <c r="L118" s="1282"/>
      <c r="O118" s="1292" t="s">
        <v>69</v>
      </c>
      <c r="P118" s="1292" t="s">
        <v>1006</v>
      </c>
      <c r="Q118" s="1292" t="s">
        <v>31</v>
      </c>
      <c r="R118" s="1293"/>
      <c r="S118" s="1292" t="s">
        <v>499</v>
      </c>
      <c r="T118" s="1292" t="s">
        <v>200</v>
      </c>
      <c r="U118" s="1294" t="s">
        <v>1044</v>
      </c>
      <c r="W118" s="1293" t="str">
        <f>'🔵クレーム'!C109</f>
        <v/>
      </c>
      <c r="X118" s="1293" t="str">
        <f>'🔵クレーム'!D109</f>
        <v/>
      </c>
      <c r="Y118" s="1292" t="str">
        <f>'🔵クレーム'!I109</f>
        <v/>
      </c>
      <c r="Z118" s="1293" t="str">
        <f>'🔵クレーム'!J109</f>
        <v/>
      </c>
      <c r="AA118" s="1293" t="str">
        <f>'🔵クレーム'!K109</f>
        <v/>
      </c>
      <c r="AB118" s="1293" t="str">
        <f>'🔵クレーム'!L109</f>
        <v/>
      </c>
      <c r="AC118" s="1295" t="str">
        <f>'🔵クレーム'!N109</f>
        <v/>
      </c>
      <c r="AH118" s="274"/>
    </row>
    <row r="119">
      <c r="B119" s="1270" t="str">
        <f>IFERROR(__xludf.DUMMYFUNCTION("""COMPUTED_VALUE"""),"4月")</f>
        <v>4月</v>
      </c>
      <c r="C119" s="1270" t="str">
        <f>IFERROR(__xludf.DUMMYFUNCTION("""COMPUTED_VALUE"""),"19日")</f>
        <v>19日</v>
      </c>
      <c r="D119" s="1270" t="str">
        <f>IFERROR(__xludf.DUMMYFUNCTION("""COMPUTED_VALUE"""),"清掃不備")</f>
        <v>清掃不備</v>
      </c>
      <c r="E119" s="1338" t="str">
        <f>IFERROR(__xludf.DUMMYFUNCTION("""COMPUTED_VALUE"""),"ティラク")</f>
        <v>ティラク</v>
      </c>
      <c r="F119" s="1338" t="str">
        <f>IFERROR(__xludf.DUMMYFUNCTION("""COMPUTED_VALUE"""),"ラリー")</f>
        <v>ラリー</v>
      </c>
      <c r="G119" s="1339" t="str">
        <f>IFERROR(__xludf.DUMMYFUNCTION("""COMPUTED_VALUE"""),"洗面ボウル濡れている、ゴミ箱の位置雑")</f>
        <v>洗面ボウル濡れている、ゴミ箱の位置雑</v>
      </c>
      <c r="H119" s="220"/>
      <c r="I119" s="220"/>
      <c r="J119" s="5"/>
      <c r="K119" s="1282"/>
      <c r="L119" s="1282"/>
      <c r="O119" s="1292" t="s">
        <v>69</v>
      </c>
      <c r="P119" s="1292" t="s">
        <v>145</v>
      </c>
      <c r="Q119" s="1292" t="s">
        <v>29</v>
      </c>
      <c r="R119" s="1293"/>
      <c r="S119" s="1292"/>
      <c r="T119" s="1292"/>
      <c r="U119" s="1294" t="s">
        <v>1045</v>
      </c>
      <c r="W119" s="1293" t="str">
        <f>'🔵クレーム'!C110</f>
        <v/>
      </c>
      <c r="X119" s="1293" t="str">
        <f>'🔵クレーム'!D110</f>
        <v/>
      </c>
      <c r="Y119" s="1292" t="str">
        <f>'🔵クレーム'!I110</f>
        <v/>
      </c>
      <c r="Z119" s="1293" t="str">
        <f>'🔵クレーム'!J110</f>
        <v/>
      </c>
      <c r="AA119" s="1293" t="str">
        <f>'🔵クレーム'!K110</f>
        <v/>
      </c>
      <c r="AB119" s="1293" t="str">
        <f>'🔵クレーム'!L110</f>
        <v/>
      </c>
      <c r="AC119" s="1295" t="str">
        <f>'🔵クレーム'!N110</f>
        <v/>
      </c>
      <c r="AH119" s="274"/>
    </row>
    <row r="120">
      <c r="B120" s="1270" t="str">
        <f>IFERROR(__xludf.DUMMYFUNCTION("""COMPUTED_VALUE"""),"4月")</f>
        <v>4月</v>
      </c>
      <c r="C120" s="1270" t="str">
        <f>IFERROR(__xludf.DUMMYFUNCTION("""COMPUTED_VALUE"""),"19日")</f>
        <v>19日</v>
      </c>
      <c r="D120" s="1270" t="str">
        <f>IFERROR(__xludf.DUMMYFUNCTION("""COMPUTED_VALUE"""),"残置")</f>
        <v>残置</v>
      </c>
      <c r="E120" s="1338"/>
      <c r="F120" s="1338" t="str">
        <f>IFERROR(__xludf.DUMMYFUNCTION("""COMPUTED_VALUE"""),"ナバーロ")</f>
        <v>ナバーロ</v>
      </c>
      <c r="G120" s="1339" t="str">
        <f>IFERROR(__xludf.DUMMYFUNCTION("""COMPUTED_VALUE"""),"ベットシーツの中にマッキーが挟まっていた")</f>
        <v>ベットシーツの中にマッキーが挟まっていた</v>
      </c>
      <c r="H120" s="220"/>
      <c r="I120" s="220"/>
      <c r="J120" s="5"/>
      <c r="K120" s="1282"/>
      <c r="L120" s="1282"/>
      <c r="O120" s="1292" t="s">
        <v>69</v>
      </c>
      <c r="P120" s="1292" t="s">
        <v>156</v>
      </c>
      <c r="Q120" s="1292" t="s">
        <v>29</v>
      </c>
      <c r="R120" s="1293"/>
      <c r="S120" s="1292"/>
      <c r="T120" s="1292"/>
      <c r="U120" s="1294" t="s">
        <v>1046</v>
      </c>
      <c r="W120" s="1293" t="str">
        <f>'🔵クレーム'!C111</f>
        <v/>
      </c>
      <c r="X120" s="1293" t="str">
        <f>'🔵クレーム'!D111</f>
        <v/>
      </c>
      <c r="Y120" s="1292" t="str">
        <f>'🔵クレーム'!I111</f>
        <v/>
      </c>
      <c r="Z120" s="1293" t="str">
        <f>'🔵クレーム'!J111</f>
        <v/>
      </c>
      <c r="AA120" s="1293" t="str">
        <f>'🔵クレーム'!K111</f>
        <v/>
      </c>
      <c r="AB120" s="1293" t="str">
        <f>'🔵クレーム'!L111</f>
        <v/>
      </c>
      <c r="AC120" s="1295" t="str">
        <f>'🔵クレーム'!N111</f>
        <v/>
      </c>
      <c r="AH120" s="274"/>
    </row>
    <row r="121">
      <c r="B121" s="1270" t="str">
        <f>IFERROR(__xludf.DUMMYFUNCTION("""COMPUTED_VALUE"""),"5月")</f>
        <v>5月</v>
      </c>
      <c r="C121" s="1270" t="str">
        <f>IFERROR(__xludf.DUMMYFUNCTION("""COMPUTED_VALUE"""),"13日")</f>
        <v>13日</v>
      </c>
      <c r="D121" s="1270" t="str">
        <f>IFERROR(__xludf.DUMMYFUNCTION("""COMPUTED_VALUE"""),"手配ミス")</f>
        <v>手配ミス</v>
      </c>
      <c r="E121" s="1338" t="str">
        <f>IFERROR(__xludf.DUMMYFUNCTION("""COMPUTED_VALUE"""),"ジェ")</f>
        <v>ジェ</v>
      </c>
      <c r="F121" s="1338"/>
      <c r="G121" s="1339" t="str">
        <f>IFERROR(__xludf.DUMMYFUNCTION("""COMPUTED_VALUE"""),"タオル類ドアノブかかってなかった")</f>
        <v>タオル類ドアノブかかってなかった</v>
      </c>
      <c r="H121" s="220"/>
      <c r="I121" s="220"/>
      <c r="J121" s="5"/>
      <c r="K121" s="1282"/>
      <c r="L121" s="1282"/>
      <c r="O121" s="1292" t="s">
        <v>69</v>
      </c>
      <c r="P121" s="1292" t="s">
        <v>1047</v>
      </c>
      <c r="Q121" s="1292" t="s">
        <v>31</v>
      </c>
      <c r="R121" s="1293"/>
      <c r="S121" s="1292" t="s">
        <v>947</v>
      </c>
      <c r="T121" s="1292" t="s">
        <v>961</v>
      </c>
      <c r="U121" s="1294" t="s">
        <v>1048</v>
      </c>
      <c r="W121" s="1293" t="str">
        <f>'🔵クレーム'!C112</f>
        <v/>
      </c>
      <c r="X121" s="1293" t="str">
        <f>'🔵クレーム'!D112</f>
        <v/>
      </c>
      <c r="Y121" s="1292" t="str">
        <f>'🔵クレーム'!I112</f>
        <v/>
      </c>
      <c r="Z121" s="1293" t="str">
        <f>'🔵クレーム'!J112</f>
        <v/>
      </c>
      <c r="AA121" s="1293" t="str">
        <f>'🔵クレーム'!K112</f>
        <v/>
      </c>
      <c r="AB121" s="1293" t="str">
        <f>'🔵クレーム'!L112</f>
        <v/>
      </c>
      <c r="AC121" s="1295" t="str">
        <f>'🔵クレーム'!N112</f>
        <v/>
      </c>
      <c r="AH121" s="274"/>
    </row>
    <row r="122">
      <c r="B122" s="1270" t="str">
        <f>IFERROR(__xludf.DUMMYFUNCTION("""COMPUTED_VALUE"""),"5月")</f>
        <v>5月</v>
      </c>
      <c r="C122" s="1270" t="str">
        <f>IFERROR(__xludf.DUMMYFUNCTION("""COMPUTED_VALUE"""),"14日")</f>
        <v>14日</v>
      </c>
      <c r="D122" s="1270" t="str">
        <f>IFERROR(__xludf.DUMMYFUNCTION("""COMPUTED_VALUE"""),"汚れ")</f>
        <v>汚れ</v>
      </c>
      <c r="E122" s="1338" t="str">
        <f>IFERROR(__xludf.DUMMYFUNCTION("""COMPUTED_VALUE"""),"ティラク")</f>
        <v>ティラク</v>
      </c>
      <c r="F122" s="1338" t="str">
        <f>IFERROR(__xludf.DUMMYFUNCTION("""COMPUTED_VALUE"""),"ジェイ")</f>
        <v>ジェイ</v>
      </c>
      <c r="G122" s="1339" t="str">
        <f>IFERROR(__xludf.DUMMYFUNCTION("""COMPUTED_VALUE"""),"まくらカバーに血がついてる")</f>
        <v>まくらカバーに血がついてる</v>
      </c>
      <c r="H122" s="220"/>
      <c r="I122" s="220"/>
      <c r="J122" s="5"/>
      <c r="K122" s="1282"/>
      <c r="L122" s="1282"/>
      <c r="O122" s="1292" t="s">
        <v>69</v>
      </c>
      <c r="P122" s="1292" t="s">
        <v>1049</v>
      </c>
      <c r="Q122" s="1292" t="s">
        <v>40</v>
      </c>
      <c r="R122" s="1293"/>
      <c r="S122" s="1292" t="s">
        <v>947</v>
      </c>
      <c r="T122" s="1292" t="s">
        <v>992</v>
      </c>
      <c r="U122" s="1294" t="s">
        <v>1050</v>
      </c>
      <c r="W122" s="1293" t="str">
        <f>'🔵クレーム'!C113</f>
        <v/>
      </c>
      <c r="X122" s="1293" t="str">
        <f>'🔵クレーム'!D113</f>
        <v/>
      </c>
      <c r="Y122" s="1292" t="str">
        <f>'🔵クレーム'!I113</f>
        <v/>
      </c>
      <c r="Z122" s="1293" t="str">
        <f>'🔵クレーム'!J113</f>
        <v/>
      </c>
      <c r="AA122" s="1293" t="str">
        <f>'🔵クレーム'!K113</f>
        <v/>
      </c>
      <c r="AB122" s="1293" t="str">
        <f>'🔵クレーム'!L113</f>
        <v/>
      </c>
      <c r="AC122" s="1295" t="str">
        <f>'🔵クレーム'!N113</f>
        <v/>
      </c>
      <c r="AH122" s="274"/>
    </row>
    <row r="123">
      <c r="B123" s="1270" t="str">
        <f>IFERROR(__xludf.DUMMYFUNCTION("""COMPUTED_VALUE"""),"5月")</f>
        <v>5月</v>
      </c>
      <c r="C123" s="1270" t="str">
        <f>IFERROR(__xludf.DUMMYFUNCTION("""COMPUTED_VALUE"""),"16日")</f>
        <v>16日</v>
      </c>
      <c r="D123" s="1270" t="str">
        <f>IFERROR(__xludf.DUMMYFUNCTION("""COMPUTED_VALUE"""),"手配ミス")</f>
        <v>手配ミス</v>
      </c>
      <c r="E123" s="1338" t="str">
        <f>IFERROR(__xludf.DUMMYFUNCTION("""COMPUTED_VALUE"""),"アニル")</f>
        <v>アニル</v>
      </c>
      <c r="F123" s="1338" t="str">
        <f>IFERROR(__xludf.DUMMYFUNCTION("""COMPUTED_VALUE"""),"ギタ")</f>
        <v>ギタ</v>
      </c>
      <c r="G123" s="1339" t="str">
        <f>IFERROR(__xludf.DUMMYFUNCTION("""COMPUTED_VALUE"""),"スリッパぬれていた")</f>
        <v>スリッパぬれていた</v>
      </c>
      <c r="H123" s="220"/>
      <c r="I123" s="220"/>
      <c r="J123" s="5"/>
      <c r="K123" s="1282"/>
      <c r="L123" s="1282"/>
      <c r="O123" s="1292" t="s">
        <v>69</v>
      </c>
      <c r="P123" s="1292" t="s">
        <v>214</v>
      </c>
      <c r="Q123" s="1292" t="s">
        <v>29</v>
      </c>
      <c r="R123" s="1293"/>
      <c r="S123" s="1292"/>
      <c r="T123" s="1292"/>
      <c r="U123" s="1294" t="s">
        <v>1051</v>
      </c>
      <c r="W123" s="1293" t="str">
        <f>'🔵クレーム'!C114</f>
        <v/>
      </c>
      <c r="X123" s="1293" t="str">
        <f>'🔵クレーム'!D114</f>
        <v/>
      </c>
      <c r="Y123" s="1292" t="str">
        <f>'🔵クレーム'!I114</f>
        <v/>
      </c>
      <c r="Z123" s="1293" t="str">
        <f>'🔵クレーム'!J114</f>
        <v/>
      </c>
      <c r="AA123" s="1293" t="str">
        <f>'🔵クレーム'!K114</f>
        <v/>
      </c>
      <c r="AB123" s="1293" t="str">
        <f>'🔵クレーム'!L114</f>
        <v/>
      </c>
      <c r="AC123" s="1295" t="str">
        <f>'🔵クレーム'!N114</f>
        <v/>
      </c>
      <c r="AH123" s="274"/>
    </row>
    <row r="124">
      <c r="B124" s="1270" t="str">
        <f>IFERROR(__xludf.DUMMYFUNCTION("""COMPUTED_VALUE"""),"5月")</f>
        <v>5月</v>
      </c>
      <c r="C124" s="1270" t="str">
        <f>IFERROR(__xludf.DUMMYFUNCTION("""COMPUTED_VALUE"""),"16日")</f>
        <v>16日</v>
      </c>
      <c r="D124" s="1270" t="str">
        <f>IFERROR(__xludf.DUMMYFUNCTION("""COMPUTED_VALUE"""),"汚れ")</f>
        <v>汚れ</v>
      </c>
      <c r="E124" s="1338" t="str">
        <f>IFERROR(__xludf.DUMMYFUNCTION("""COMPUTED_VALUE"""),"アルマ")</f>
        <v>アルマ</v>
      </c>
      <c r="F124" s="1338" t="str">
        <f>IFERROR(__xludf.DUMMYFUNCTION("""COMPUTED_VALUE"""),"プスカル")</f>
        <v>プスカル</v>
      </c>
      <c r="G124" s="1339" t="str">
        <f>IFERROR(__xludf.DUMMYFUNCTION("""COMPUTED_VALUE"""),"フェイスタオル汚れあり")</f>
        <v>フェイスタオル汚れあり</v>
      </c>
      <c r="H124" s="220"/>
      <c r="I124" s="220"/>
      <c r="J124" s="5"/>
      <c r="K124" s="1282"/>
      <c r="L124" s="1282"/>
      <c r="O124" s="1292" t="s">
        <v>71</v>
      </c>
      <c r="P124" s="1292" t="s">
        <v>938</v>
      </c>
      <c r="Q124" s="1292" t="s">
        <v>31</v>
      </c>
      <c r="R124" s="1293"/>
      <c r="S124" s="1292"/>
      <c r="T124" s="1292" t="s">
        <v>197</v>
      </c>
      <c r="U124" s="1294" t="s">
        <v>1052</v>
      </c>
      <c r="W124" s="1293" t="str">
        <f>'🔵クレーム'!C115</f>
        <v/>
      </c>
      <c r="X124" s="1293" t="str">
        <f>'🔵クレーム'!D115</f>
        <v/>
      </c>
      <c r="Y124" s="1292" t="str">
        <f>'🔵クレーム'!I115</f>
        <v/>
      </c>
      <c r="Z124" s="1293" t="str">
        <f>'🔵クレーム'!J115</f>
        <v/>
      </c>
      <c r="AA124" s="1293" t="str">
        <f>'🔵クレーム'!K115</f>
        <v/>
      </c>
      <c r="AB124" s="1293" t="str">
        <f>'🔵クレーム'!L115</f>
        <v/>
      </c>
      <c r="AC124" s="1295" t="str">
        <f>'🔵クレーム'!N115</f>
        <v/>
      </c>
      <c r="AH124" s="274"/>
    </row>
    <row r="125">
      <c r="B125" s="1270" t="str">
        <f>IFERROR(__xludf.DUMMYFUNCTION("""COMPUTED_VALUE"""),"5月")</f>
        <v>5月</v>
      </c>
      <c r="C125" s="1270" t="str">
        <f>IFERROR(__xludf.DUMMYFUNCTION("""COMPUTED_VALUE"""),"18日")</f>
        <v>18日</v>
      </c>
      <c r="D125" s="1270" t="str">
        <f>IFERROR(__xludf.DUMMYFUNCTION("""COMPUTED_VALUE"""),"汚れ")</f>
        <v>汚れ</v>
      </c>
      <c r="E125" s="1338" t="str">
        <f>IFERROR(__xludf.DUMMYFUNCTION("""COMPUTED_VALUE"""),"ジャムナ")</f>
        <v>ジャムナ</v>
      </c>
      <c r="F125" s="1338" t="str">
        <f>IFERROR(__xludf.DUMMYFUNCTION("""COMPUTED_VALUE"""),"スニタ")</f>
        <v>スニタ</v>
      </c>
      <c r="G125" s="1339" t="str">
        <f>IFERROR(__xludf.DUMMYFUNCTION("""COMPUTED_VALUE"""),"冷蔵庫がほこりで汚れている")</f>
        <v>冷蔵庫がほこりで汚れている</v>
      </c>
      <c r="H125" s="220"/>
      <c r="I125" s="220"/>
      <c r="J125" s="5"/>
      <c r="K125" s="1282"/>
      <c r="L125" s="1282"/>
      <c r="O125" s="1292" t="s">
        <v>71</v>
      </c>
      <c r="P125" s="1292" t="s">
        <v>109</v>
      </c>
      <c r="Q125" s="1292" t="s">
        <v>38</v>
      </c>
      <c r="R125" s="1293"/>
      <c r="S125" s="1292"/>
      <c r="T125" s="1292" t="s">
        <v>103</v>
      </c>
      <c r="U125" s="1294" t="s">
        <v>1053</v>
      </c>
      <c r="W125" s="1293" t="str">
        <f>'🔵クレーム'!C116</f>
        <v/>
      </c>
      <c r="X125" s="1293" t="str">
        <f>'🔵クレーム'!D116</f>
        <v/>
      </c>
      <c r="Y125" s="1292" t="str">
        <f>'🔵クレーム'!I116</f>
        <v/>
      </c>
      <c r="Z125" s="1293" t="str">
        <f>'🔵クレーム'!J116</f>
        <v/>
      </c>
      <c r="AA125" s="1293" t="str">
        <f>'🔵クレーム'!K116</f>
        <v/>
      </c>
      <c r="AB125" s="1293" t="str">
        <f>'🔵クレーム'!L116</f>
        <v/>
      </c>
      <c r="AC125" s="1295" t="str">
        <f>'🔵クレーム'!N116</f>
        <v/>
      </c>
      <c r="AH125" s="274"/>
    </row>
    <row r="126">
      <c r="B126" s="1270" t="str">
        <f>IFERROR(__xludf.DUMMYFUNCTION("""COMPUTED_VALUE"""),"5月")</f>
        <v>5月</v>
      </c>
      <c r="C126" s="1270" t="str">
        <f>IFERROR(__xludf.DUMMYFUNCTION("""COMPUTED_VALUE"""),"18日")</f>
        <v>18日</v>
      </c>
      <c r="D126" s="1270" t="str">
        <f>IFERROR(__xludf.DUMMYFUNCTION("""COMPUTED_VALUE"""),"残置")</f>
        <v>残置</v>
      </c>
      <c r="E126" s="1338" t="str">
        <f>IFERROR(__xludf.DUMMYFUNCTION("""COMPUTED_VALUE"""),"ジェ")</f>
        <v>ジェ</v>
      </c>
      <c r="F126" s="1338" t="str">
        <f>IFERROR(__xludf.DUMMYFUNCTION("""COMPUTED_VALUE"""),"ナバーロ")</f>
        <v>ナバーロ</v>
      </c>
      <c r="G126" s="1339" t="str">
        <f>IFERROR(__xludf.DUMMYFUNCTION("""COMPUTED_VALUE"""),"ごみ箱がそのままだった")</f>
        <v>ごみ箱がそのままだった</v>
      </c>
      <c r="H126" s="220"/>
      <c r="I126" s="220"/>
      <c r="J126" s="5"/>
      <c r="K126" s="1282"/>
      <c r="L126" s="1282"/>
      <c r="O126" s="1292" t="s">
        <v>71</v>
      </c>
      <c r="P126" s="1292" t="s">
        <v>996</v>
      </c>
      <c r="Q126" s="1292" t="s">
        <v>29</v>
      </c>
      <c r="R126" s="1293"/>
      <c r="S126" s="1292"/>
      <c r="T126" s="1292"/>
      <c r="U126" s="1294" t="s">
        <v>1054</v>
      </c>
      <c r="W126" s="1293" t="str">
        <f>'🔵クレーム'!C117</f>
        <v/>
      </c>
      <c r="X126" s="1293" t="str">
        <f>'🔵クレーム'!D117</f>
        <v/>
      </c>
      <c r="Y126" s="1292" t="str">
        <f>'🔵クレーム'!I117</f>
        <v/>
      </c>
      <c r="Z126" s="1293" t="str">
        <f>'🔵クレーム'!J117</f>
        <v/>
      </c>
      <c r="AA126" s="1293" t="str">
        <f>'🔵クレーム'!K117</f>
        <v/>
      </c>
      <c r="AB126" s="1293" t="str">
        <f>'🔵クレーム'!L117</f>
        <v/>
      </c>
      <c r="AC126" s="1295" t="str">
        <f>'🔵クレーム'!N117</f>
        <v/>
      </c>
      <c r="AH126" s="274"/>
    </row>
    <row r="127">
      <c r="B127" s="1270" t="str">
        <f>IFERROR(__xludf.DUMMYFUNCTION("""COMPUTED_VALUE"""),"5月")</f>
        <v>5月</v>
      </c>
      <c r="C127" s="1270" t="str">
        <f>IFERROR(__xludf.DUMMYFUNCTION("""COMPUTED_VALUE"""),"26日")</f>
        <v>26日</v>
      </c>
      <c r="D127" s="1270" t="str">
        <f>IFERROR(__xludf.DUMMYFUNCTION("""COMPUTED_VALUE"""),"汚れ")</f>
        <v>汚れ</v>
      </c>
      <c r="E127" s="1338" t="str">
        <f>IFERROR(__xludf.DUMMYFUNCTION("""COMPUTED_VALUE"""),"アルマ")</f>
        <v>アルマ</v>
      </c>
      <c r="F127" s="1338" t="str">
        <f>IFERROR(__xludf.DUMMYFUNCTION("""COMPUTED_VALUE"""),"サルスティ")</f>
        <v>サルスティ</v>
      </c>
      <c r="G127" s="1339" t="str">
        <f>IFERROR(__xludf.DUMMYFUNCTION("""COMPUTED_VALUE"""),"スミのホコリが気になる")</f>
        <v>スミのホコリが気になる</v>
      </c>
      <c r="H127" s="220"/>
      <c r="I127" s="220"/>
      <c r="J127" s="5"/>
      <c r="K127" s="1282"/>
      <c r="L127" s="1282"/>
      <c r="O127" s="1292" t="s">
        <v>71</v>
      </c>
      <c r="P127" s="1292" t="s">
        <v>996</v>
      </c>
      <c r="Q127" s="1292" t="s">
        <v>29</v>
      </c>
      <c r="R127" s="1293"/>
      <c r="S127" s="1292"/>
      <c r="T127" s="1292"/>
      <c r="U127" s="1294" t="s">
        <v>1055</v>
      </c>
      <c r="W127" s="1293" t="str">
        <f>'🔵クレーム'!C118</f>
        <v/>
      </c>
      <c r="X127" s="1293" t="str">
        <f>'🔵クレーム'!D118</f>
        <v/>
      </c>
      <c r="Y127" s="1292" t="str">
        <f>'🔵クレーム'!I118</f>
        <v/>
      </c>
      <c r="Z127" s="1293" t="str">
        <f>'🔵クレーム'!J118</f>
        <v/>
      </c>
      <c r="AA127" s="1293" t="str">
        <f>'🔵クレーム'!K118</f>
        <v/>
      </c>
      <c r="AB127" s="1293" t="str">
        <f>'🔵クレーム'!L118</f>
        <v/>
      </c>
      <c r="AC127" s="1295" t="str">
        <f>'🔵クレーム'!N118</f>
        <v/>
      </c>
      <c r="AH127" s="274"/>
    </row>
    <row r="128">
      <c r="B128" s="1270" t="str">
        <f>IFERROR(__xludf.DUMMYFUNCTION("""COMPUTED_VALUE"""),"5月")</f>
        <v>5月</v>
      </c>
      <c r="C128" s="1270" t="str">
        <f>IFERROR(__xludf.DUMMYFUNCTION("""COMPUTED_VALUE"""),"27日")</f>
        <v>27日</v>
      </c>
      <c r="D128" s="1270" t="str">
        <f>IFERROR(__xludf.DUMMYFUNCTION("""COMPUTED_VALUE"""),"手配ミス")</f>
        <v>手配ミス</v>
      </c>
      <c r="E128" s="1338" t="str">
        <f>IFERROR(__xludf.DUMMYFUNCTION("""COMPUTED_VALUE"""),"ゴマ")</f>
        <v>ゴマ</v>
      </c>
      <c r="F128" s="1338" t="str">
        <f>IFERROR(__xludf.DUMMYFUNCTION("""COMPUTED_VALUE"""),"シタ")</f>
        <v>シタ</v>
      </c>
      <c r="G128" s="1339" t="str">
        <f>IFERROR(__xludf.DUMMYFUNCTION("""COMPUTED_VALUE"""),"歯ブラシが2つのうち1つ開いてた。")</f>
        <v>歯ブラシが2つのうち1つ開いてた。</v>
      </c>
      <c r="H128" s="220"/>
      <c r="I128" s="220"/>
      <c r="J128" s="5"/>
      <c r="K128" s="1282"/>
      <c r="L128" s="1282"/>
      <c r="O128" s="1292" t="s">
        <v>71</v>
      </c>
      <c r="P128" s="1292" t="s">
        <v>1056</v>
      </c>
      <c r="Q128" s="1292" t="s">
        <v>31</v>
      </c>
      <c r="R128" s="1293"/>
      <c r="S128" s="1292"/>
      <c r="T128" s="1292" t="s">
        <v>494</v>
      </c>
      <c r="U128" s="1294" t="s">
        <v>1057</v>
      </c>
      <c r="W128" s="1293" t="str">
        <f>'🔵クレーム'!C119</f>
        <v/>
      </c>
      <c r="X128" s="1293" t="str">
        <f>'🔵クレーム'!D119</f>
        <v/>
      </c>
      <c r="Y128" s="1292" t="str">
        <f>'🔵クレーム'!I119</f>
        <v/>
      </c>
      <c r="Z128" s="1293" t="str">
        <f>'🔵クレーム'!J119</f>
        <v/>
      </c>
      <c r="AA128" s="1293" t="str">
        <f>'🔵クレーム'!K119</f>
        <v/>
      </c>
      <c r="AB128" s="1293" t="str">
        <f>'🔵クレーム'!L119</f>
        <v/>
      </c>
      <c r="AC128" s="1295" t="str">
        <f>'🔵クレーム'!N119</f>
        <v/>
      </c>
      <c r="AH128" s="274"/>
    </row>
    <row r="129">
      <c r="B129" s="1270" t="str">
        <f>IFERROR(__xludf.DUMMYFUNCTION("""COMPUTED_VALUE"""),"6月")</f>
        <v>6月</v>
      </c>
      <c r="C129" s="1270" t="str">
        <f>IFERROR(__xludf.DUMMYFUNCTION("""COMPUTED_VALUE"""),"1日")</f>
        <v>1日</v>
      </c>
      <c r="D129" s="1270" t="str">
        <f>IFERROR(__xludf.DUMMYFUNCTION("""COMPUTED_VALUE"""),"清掃不備")</f>
        <v>清掃不備</v>
      </c>
      <c r="E129" s="1338" t="str">
        <f>IFERROR(__xludf.DUMMYFUNCTION("""COMPUTED_VALUE"""),"エマ")</f>
        <v>エマ</v>
      </c>
      <c r="F129" s="1338" t="str">
        <f>IFERROR(__xludf.DUMMYFUNCTION("""COMPUTED_VALUE"""),"クリスナ")</f>
        <v>クリスナ</v>
      </c>
      <c r="G129" s="1339" t="str">
        <f>IFERROR(__xludf.DUMMYFUNCTION("""COMPUTED_VALUE"""),"客室内アンモニア臭がひどい")</f>
        <v>客室内アンモニア臭がひどい</v>
      </c>
      <c r="H129" s="220"/>
      <c r="I129" s="220"/>
      <c r="J129" s="5"/>
      <c r="K129" s="1282"/>
      <c r="L129" s="1282"/>
      <c r="O129" s="1292" t="s">
        <v>71</v>
      </c>
      <c r="P129" s="1292" t="s">
        <v>980</v>
      </c>
      <c r="Q129" s="1292" t="s">
        <v>39</v>
      </c>
      <c r="R129" s="1293"/>
      <c r="S129" s="1292" t="s">
        <v>141</v>
      </c>
      <c r="T129" s="1292" t="s">
        <v>157</v>
      </c>
      <c r="U129" s="1294" t="s">
        <v>1058</v>
      </c>
      <c r="W129" s="1293" t="str">
        <f>'🔵クレーム'!C120</f>
        <v/>
      </c>
      <c r="X129" s="1293" t="str">
        <f>'🔵クレーム'!D120</f>
        <v/>
      </c>
      <c r="Y129" s="1292" t="str">
        <f>'🔵クレーム'!I120</f>
        <v/>
      </c>
      <c r="Z129" s="1293" t="str">
        <f>'🔵クレーム'!J120</f>
        <v/>
      </c>
      <c r="AA129" s="1293" t="str">
        <f>'🔵クレーム'!K120</f>
        <v/>
      </c>
      <c r="AB129" s="1293" t="str">
        <f>'🔵クレーム'!L120</f>
        <v/>
      </c>
      <c r="AC129" s="1295" t="str">
        <f>'🔵クレーム'!N120</f>
        <v/>
      </c>
      <c r="AH129" s="274"/>
    </row>
    <row r="130">
      <c r="B130" s="1270" t="str">
        <f>IFERROR(__xludf.DUMMYFUNCTION("""COMPUTED_VALUE"""),"6月")</f>
        <v>6月</v>
      </c>
      <c r="C130" s="1270" t="str">
        <f>IFERROR(__xludf.DUMMYFUNCTION("""COMPUTED_VALUE"""),"2日")</f>
        <v>2日</v>
      </c>
      <c r="D130" s="1270" t="str">
        <f>IFERROR(__xludf.DUMMYFUNCTION("""COMPUTED_VALUE"""),"残置")</f>
        <v>残置</v>
      </c>
      <c r="E130" s="1338" t="str">
        <f>IFERROR(__xludf.DUMMYFUNCTION("""COMPUTED_VALUE"""),"アルマ")</f>
        <v>アルマ</v>
      </c>
      <c r="F130" s="1338" t="str">
        <f>IFERROR(__xludf.DUMMYFUNCTION("""COMPUTED_VALUE"""),"プスカル")</f>
        <v>プスカル</v>
      </c>
      <c r="G130" s="1339" t="str">
        <f>IFERROR(__xludf.DUMMYFUNCTION("""COMPUTED_VALUE"""),"TV台とベットの間にお客様のものではない下着が落ちていた")</f>
        <v>TV台とベットの間にお客様のものではない下着が落ちていた</v>
      </c>
      <c r="H130" s="220"/>
      <c r="I130" s="220"/>
      <c r="J130" s="5"/>
      <c r="K130" s="1282"/>
      <c r="L130" s="1282"/>
      <c r="O130" s="1292" t="s">
        <v>71</v>
      </c>
      <c r="P130" s="1292" t="s">
        <v>980</v>
      </c>
      <c r="Q130" s="1292" t="s">
        <v>31</v>
      </c>
      <c r="R130" s="1293"/>
      <c r="S130" s="1292"/>
      <c r="T130" s="1292" t="s">
        <v>640</v>
      </c>
      <c r="U130" s="1294" t="s">
        <v>1059</v>
      </c>
      <c r="W130" s="1293" t="str">
        <f>'🔵クレーム'!C121</f>
        <v/>
      </c>
      <c r="X130" s="1293" t="str">
        <f>'🔵クレーム'!D121</f>
        <v/>
      </c>
      <c r="Y130" s="1292" t="str">
        <f>'🔵クレーム'!I121</f>
        <v/>
      </c>
      <c r="Z130" s="1293" t="str">
        <f>'🔵クレーム'!J121</f>
        <v/>
      </c>
      <c r="AA130" s="1293" t="str">
        <f>'🔵クレーム'!K121</f>
        <v/>
      </c>
      <c r="AB130" s="1293" t="str">
        <f>'🔵クレーム'!L121</f>
        <v/>
      </c>
      <c r="AC130" s="1295" t="str">
        <f>'🔵クレーム'!N121</f>
        <v/>
      </c>
      <c r="AH130" s="274"/>
    </row>
    <row r="131">
      <c r="B131" s="1270" t="str">
        <f>IFERROR(__xludf.DUMMYFUNCTION("""COMPUTED_VALUE"""),"6月")</f>
        <v>6月</v>
      </c>
      <c r="C131" s="1270" t="str">
        <f>IFERROR(__xludf.DUMMYFUNCTION("""COMPUTED_VALUE"""),"3日")</f>
        <v>3日</v>
      </c>
      <c r="D131" s="1270" t="str">
        <f>IFERROR(__xludf.DUMMYFUNCTION("""COMPUTED_VALUE"""),"清掃不備")</f>
        <v>清掃不備</v>
      </c>
      <c r="E131" s="1338" t="str">
        <f>IFERROR(__xludf.DUMMYFUNCTION("""COMPUTED_VALUE"""),"アルマ")</f>
        <v>アルマ</v>
      </c>
      <c r="F131" s="1338" t="str">
        <f>IFERROR(__xludf.DUMMYFUNCTION("""COMPUTED_VALUE"""),"シタ")</f>
        <v>シタ</v>
      </c>
      <c r="G131" s="1339" t="str">
        <f>IFERROR(__xludf.DUMMYFUNCTION("""COMPUTED_VALUE"""),"部屋の隅のホコリが気になる")</f>
        <v>部屋の隅のホコリが気になる</v>
      </c>
      <c r="H131" s="220"/>
      <c r="I131" s="220"/>
      <c r="J131" s="5"/>
      <c r="K131" s="1282"/>
      <c r="L131" s="1282"/>
      <c r="O131" s="1292" t="s">
        <v>71</v>
      </c>
      <c r="P131" s="1292" t="s">
        <v>152</v>
      </c>
      <c r="Q131" s="1292" t="s">
        <v>39</v>
      </c>
      <c r="R131" s="1293"/>
      <c r="S131" s="1292" t="s">
        <v>102</v>
      </c>
      <c r="T131" s="1292" t="s">
        <v>972</v>
      </c>
      <c r="U131" s="1294" t="s">
        <v>1060</v>
      </c>
      <c r="W131" s="1293" t="str">
        <f>'🔵クレーム'!C122</f>
        <v/>
      </c>
      <c r="X131" s="1293" t="str">
        <f>'🔵クレーム'!D122</f>
        <v/>
      </c>
      <c r="Y131" s="1292" t="str">
        <f>'🔵クレーム'!I122</f>
        <v/>
      </c>
      <c r="Z131" s="1293" t="str">
        <f>'🔵クレーム'!J122</f>
        <v/>
      </c>
      <c r="AA131" s="1293" t="str">
        <f>'🔵クレーム'!K122</f>
        <v/>
      </c>
      <c r="AB131" s="1293" t="str">
        <f>'🔵クレーム'!L122</f>
        <v/>
      </c>
      <c r="AC131" s="1295" t="str">
        <f>'🔵クレーム'!N122</f>
        <v/>
      </c>
      <c r="AH131" s="274"/>
    </row>
    <row r="132">
      <c r="B132" s="1270" t="str">
        <f>IFERROR(__xludf.DUMMYFUNCTION("""COMPUTED_VALUE"""),"7月")</f>
        <v>7月</v>
      </c>
      <c r="C132" s="1270" t="str">
        <f>IFERROR(__xludf.DUMMYFUNCTION("""COMPUTED_VALUE"""),"17日")</f>
        <v>17日</v>
      </c>
      <c r="D132" s="1270" t="str">
        <f>IFERROR(__xludf.DUMMYFUNCTION("""COMPUTED_VALUE"""),"その他")</f>
        <v>その他</v>
      </c>
      <c r="E132" s="1338" t="str">
        <f>IFERROR(__xludf.DUMMYFUNCTION("""COMPUTED_VALUE"""),"ジェ")</f>
        <v>ジェ</v>
      </c>
      <c r="F132" s="1338"/>
      <c r="G132" s="1339" t="str">
        <f>IFERROR(__xludf.DUMMYFUNCTION("""COMPUTED_VALUE"""),"TVコンセント抜けててつかなかった")</f>
        <v>TVコンセント抜けててつかなかった</v>
      </c>
      <c r="H132" s="220"/>
      <c r="I132" s="220"/>
      <c r="J132" s="5"/>
      <c r="K132" s="1282"/>
      <c r="L132" s="1282"/>
      <c r="O132" s="1292" t="s">
        <v>71</v>
      </c>
      <c r="P132" s="1292" t="s">
        <v>152</v>
      </c>
      <c r="Q132" s="1292" t="s">
        <v>29</v>
      </c>
      <c r="R132" s="1293"/>
      <c r="S132" s="1292"/>
      <c r="T132" s="1292"/>
      <c r="U132" s="1294" t="s">
        <v>1061</v>
      </c>
      <c r="W132" s="1293" t="str">
        <f>'🔵クレーム'!C123</f>
        <v/>
      </c>
      <c r="X132" s="1293" t="str">
        <f>'🔵クレーム'!D123</f>
        <v/>
      </c>
      <c r="Y132" s="1292" t="str">
        <f>'🔵クレーム'!I123</f>
        <v/>
      </c>
      <c r="Z132" s="1293" t="str">
        <f>'🔵クレーム'!J123</f>
        <v/>
      </c>
      <c r="AA132" s="1293" t="str">
        <f>'🔵クレーム'!K123</f>
        <v/>
      </c>
      <c r="AB132" s="1293" t="str">
        <f>'🔵クレーム'!L123</f>
        <v/>
      </c>
      <c r="AC132" s="1295" t="str">
        <f>'🔵クレーム'!N123</f>
        <v/>
      </c>
      <c r="AH132" s="274"/>
    </row>
    <row r="133">
      <c r="B133" s="1270" t="str">
        <f>IFERROR(__xludf.DUMMYFUNCTION("""COMPUTED_VALUE"""),"7月")</f>
        <v>7月</v>
      </c>
      <c r="C133" s="1270" t="str">
        <f>IFERROR(__xludf.DUMMYFUNCTION("""COMPUTED_VALUE"""),"17日")</f>
        <v>17日</v>
      </c>
      <c r="D133" s="1270" t="str">
        <f>IFERROR(__xludf.DUMMYFUNCTION("""COMPUTED_VALUE"""),"その他")</f>
        <v>その他</v>
      </c>
      <c r="E133" s="1338" t="str">
        <f>IFERROR(__xludf.DUMMYFUNCTION("""COMPUTED_VALUE"""),"ディパク")</f>
        <v>ディパク</v>
      </c>
      <c r="F133" s="1338"/>
      <c r="G133" s="1339" t="str">
        <f>IFERROR(__xludf.DUMMYFUNCTION("""COMPUTED_VALUE"""),"TVコンセント抜けててつかなかった")</f>
        <v>TVコンセント抜けててつかなかった</v>
      </c>
      <c r="H133" s="220"/>
      <c r="I133" s="220"/>
      <c r="J133" s="5"/>
      <c r="K133" s="1282"/>
      <c r="L133" s="1282"/>
      <c r="O133" s="1292" t="s">
        <v>71</v>
      </c>
      <c r="P133" s="1292" t="s">
        <v>161</v>
      </c>
      <c r="Q133" s="1292" t="s">
        <v>31</v>
      </c>
      <c r="R133" s="1293"/>
      <c r="S133" s="1292"/>
      <c r="T133" s="1292" t="s">
        <v>1062</v>
      </c>
      <c r="U133" s="1294" t="s">
        <v>1063</v>
      </c>
      <c r="W133" s="1293" t="str">
        <f>'🔵クレーム'!C124</f>
        <v/>
      </c>
      <c r="X133" s="1293" t="str">
        <f>'🔵クレーム'!D124</f>
        <v/>
      </c>
      <c r="Y133" s="1292" t="str">
        <f>'🔵クレーム'!I124</f>
        <v/>
      </c>
      <c r="Z133" s="1293" t="str">
        <f>'🔵クレーム'!J124</f>
        <v/>
      </c>
      <c r="AA133" s="1293" t="str">
        <f>'🔵クレーム'!K124</f>
        <v/>
      </c>
      <c r="AB133" s="1293" t="str">
        <f>'🔵クレーム'!L124</f>
        <v/>
      </c>
      <c r="AC133" s="1295" t="str">
        <f>'🔵クレーム'!N124</f>
        <v/>
      </c>
      <c r="AH133" s="274"/>
    </row>
    <row r="134">
      <c r="B134" s="1270" t="str">
        <f>IFERROR(__xludf.DUMMYFUNCTION("""COMPUTED_VALUE"""),"7月")</f>
        <v>7月</v>
      </c>
      <c r="C134" s="1270" t="str">
        <f>IFERROR(__xludf.DUMMYFUNCTION("""COMPUTED_VALUE"""),"17日")</f>
        <v>17日</v>
      </c>
      <c r="D134" s="1270" t="str">
        <f>IFERROR(__xludf.DUMMYFUNCTION("""COMPUTED_VALUE"""),"その他")</f>
        <v>その他</v>
      </c>
      <c r="E134" s="1338" t="str">
        <f>IFERROR(__xludf.DUMMYFUNCTION("""COMPUTED_VALUE"""),"アルマ")</f>
        <v>アルマ</v>
      </c>
      <c r="F134" s="1338" t="str">
        <f>IFERROR(__xludf.DUMMYFUNCTION("""COMPUTED_VALUE"""),"プスカル")</f>
        <v>プスカル</v>
      </c>
      <c r="G134" s="1339" t="str">
        <f>IFERROR(__xludf.DUMMYFUNCTION("""COMPUTED_VALUE"""),"TVコンセント抜けててつかなかった")</f>
        <v>TVコンセント抜けててつかなかった</v>
      </c>
      <c r="H134" s="220"/>
      <c r="I134" s="220"/>
      <c r="J134" s="5"/>
      <c r="K134" s="1282"/>
      <c r="L134" s="1282"/>
      <c r="O134" s="1292" t="s">
        <v>71</v>
      </c>
      <c r="P134" s="1292" t="s">
        <v>1064</v>
      </c>
      <c r="Q134" s="1292" t="s">
        <v>40</v>
      </c>
      <c r="R134" s="1293"/>
      <c r="S134" s="1292" t="s">
        <v>584</v>
      </c>
      <c r="T134" s="1292" t="s">
        <v>972</v>
      </c>
      <c r="U134" s="1294" t="s">
        <v>1065</v>
      </c>
      <c r="W134" s="1293" t="str">
        <f>'🔵クレーム'!C125</f>
        <v/>
      </c>
      <c r="X134" s="1293" t="str">
        <f>'🔵クレーム'!D125</f>
        <v/>
      </c>
      <c r="Y134" s="1292" t="str">
        <f>'🔵クレーム'!I125</f>
        <v/>
      </c>
      <c r="Z134" s="1293" t="str">
        <f>'🔵クレーム'!J125</f>
        <v/>
      </c>
      <c r="AA134" s="1293" t="str">
        <f>'🔵クレーム'!K125</f>
        <v/>
      </c>
      <c r="AB134" s="1293" t="str">
        <f>'🔵クレーム'!L125</f>
        <v/>
      </c>
      <c r="AC134" s="1295" t="str">
        <f>'🔵クレーム'!N125</f>
        <v/>
      </c>
      <c r="AH134" s="274"/>
    </row>
    <row r="135">
      <c r="B135" s="1270" t="str">
        <f>IFERROR(__xludf.DUMMYFUNCTION("""COMPUTED_VALUE"""),"7月")</f>
        <v>7月</v>
      </c>
      <c r="C135" s="1270" t="str">
        <f>IFERROR(__xludf.DUMMYFUNCTION("""COMPUTED_VALUE"""),"18日")</f>
        <v>18日</v>
      </c>
      <c r="D135" s="1270" t="str">
        <f>IFERROR(__xludf.DUMMYFUNCTION("""COMPUTED_VALUE"""),"その他")</f>
        <v>その他</v>
      </c>
      <c r="E135" s="1338" t="str">
        <f>IFERROR(__xludf.DUMMYFUNCTION("""COMPUTED_VALUE"""),"アルマ")</f>
        <v>アルマ</v>
      </c>
      <c r="F135" s="1338" t="str">
        <f>IFERROR(__xludf.DUMMYFUNCTION("""COMPUTED_VALUE"""),"モハン")</f>
        <v>モハン</v>
      </c>
      <c r="G135" s="1339" t="str">
        <f>IFERROR(__xludf.DUMMYFUNCTION("""COMPUTED_VALUE"""),"TVコンセント抜けててつかなかった")</f>
        <v>TVコンセント抜けててつかなかった</v>
      </c>
      <c r="H135" s="220"/>
      <c r="I135" s="220"/>
      <c r="J135" s="5"/>
      <c r="K135" s="1282"/>
      <c r="L135" s="1282"/>
      <c r="O135" s="1292" t="s">
        <v>71</v>
      </c>
      <c r="P135" s="1292" t="s">
        <v>210</v>
      </c>
      <c r="Q135" s="1292" t="s">
        <v>41</v>
      </c>
      <c r="R135" s="1293"/>
      <c r="S135" s="1292" t="s">
        <v>102</v>
      </c>
      <c r="T135" s="1292" t="s">
        <v>103</v>
      </c>
      <c r="U135" s="1294" t="s">
        <v>1066</v>
      </c>
      <c r="W135" s="1293" t="str">
        <f>'🔵クレーム'!C126</f>
        <v/>
      </c>
      <c r="X135" s="1293" t="str">
        <f>'🔵クレーム'!D126</f>
        <v/>
      </c>
      <c r="Y135" s="1292" t="str">
        <f>'🔵クレーム'!I126</f>
        <v/>
      </c>
      <c r="Z135" s="1293" t="str">
        <f>'🔵クレーム'!J126</f>
        <v/>
      </c>
      <c r="AA135" s="1293" t="str">
        <f>'🔵クレーム'!K126</f>
        <v/>
      </c>
      <c r="AB135" s="1293" t="str">
        <f>'🔵クレーム'!L126</f>
        <v/>
      </c>
      <c r="AC135" s="1295" t="str">
        <f>'🔵クレーム'!N126</f>
        <v/>
      </c>
      <c r="AH135" s="274"/>
    </row>
    <row r="136">
      <c r="B136" s="1270" t="str">
        <f>IFERROR(__xludf.DUMMYFUNCTION("""COMPUTED_VALUE"""),"7月")</f>
        <v>7月</v>
      </c>
      <c r="C136" s="1270" t="str">
        <f>IFERROR(__xludf.DUMMYFUNCTION("""COMPUTED_VALUE"""),"18日")</f>
        <v>18日</v>
      </c>
      <c r="D136" s="1270" t="str">
        <f>IFERROR(__xludf.DUMMYFUNCTION("""COMPUTED_VALUE"""),"その他")</f>
        <v>その他</v>
      </c>
      <c r="E136" s="1338" t="str">
        <f>IFERROR(__xludf.DUMMYFUNCTION("""COMPUTED_VALUE"""),"イラノ")</f>
        <v>イラノ</v>
      </c>
      <c r="F136" s="1338" t="str">
        <f>IFERROR(__xludf.DUMMYFUNCTION("""COMPUTED_VALUE"""),"クリスナ")</f>
        <v>クリスナ</v>
      </c>
      <c r="G136" s="1339" t="str">
        <f>IFERROR(__xludf.DUMMYFUNCTION("""COMPUTED_VALUE"""),"冷蔵庫冷えない")</f>
        <v>冷蔵庫冷えない</v>
      </c>
      <c r="H136" s="220"/>
      <c r="I136" s="220"/>
      <c r="J136" s="5"/>
      <c r="K136" s="1282"/>
      <c r="L136" s="1282"/>
      <c r="O136" s="1292" t="s">
        <v>71</v>
      </c>
      <c r="P136" s="1292" t="s">
        <v>214</v>
      </c>
      <c r="Q136" s="1292" t="s">
        <v>29</v>
      </c>
      <c r="R136" s="1293"/>
      <c r="S136" s="1292"/>
      <c r="T136" s="1292"/>
      <c r="U136" s="1294" t="s">
        <v>1054</v>
      </c>
      <c r="W136" s="1293" t="str">
        <f>'🔵クレーム'!C127</f>
        <v/>
      </c>
      <c r="X136" s="1293" t="str">
        <f>'🔵クレーム'!D127</f>
        <v/>
      </c>
      <c r="Y136" s="1292" t="str">
        <f>'🔵クレーム'!I127</f>
        <v/>
      </c>
      <c r="Z136" s="1293" t="str">
        <f>'🔵クレーム'!J127</f>
        <v/>
      </c>
      <c r="AA136" s="1293" t="str">
        <f>'🔵クレーム'!K127</f>
        <v/>
      </c>
      <c r="AB136" s="1293" t="str">
        <f>'🔵クレーム'!L127</f>
        <v/>
      </c>
      <c r="AC136" s="1295" t="str">
        <f>'🔵クレーム'!N127</f>
        <v/>
      </c>
      <c r="AH136" s="274"/>
    </row>
    <row r="137">
      <c r="B137" s="1270" t="str">
        <f>IFERROR(__xludf.DUMMYFUNCTION("""COMPUTED_VALUE"""),"7月")</f>
        <v>7月</v>
      </c>
      <c r="C137" s="1270" t="str">
        <f>IFERROR(__xludf.DUMMYFUNCTION("""COMPUTED_VALUE"""),"19日")</f>
        <v>19日</v>
      </c>
      <c r="D137" s="1270" t="str">
        <f>IFERROR(__xludf.DUMMYFUNCTION("""COMPUTED_VALUE"""),"セット漏れ")</f>
        <v>セット漏れ</v>
      </c>
      <c r="E137" s="1338" t="str">
        <f>IFERROR(__xludf.DUMMYFUNCTION("""COMPUTED_VALUE"""),"アルマ")</f>
        <v>アルマ</v>
      </c>
      <c r="F137" s="1338"/>
      <c r="G137" s="1339" t="str">
        <f>IFERROR(__xludf.DUMMYFUNCTION("""COMPUTED_VALUE"""),"部屋にケトルがない")</f>
        <v>部屋にケトルがない</v>
      </c>
      <c r="H137" s="220"/>
      <c r="I137" s="220"/>
      <c r="J137" s="5"/>
      <c r="K137" s="1282"/>
      <c r="L137" s="1282"/>
      <c r="O137" s="1292" t="s">
        <v>71</v>
      </c>
      <c r="P137" s="1292" t="s">
        <v>792</v>
      </c>
      <c r="Q137" s="1292" t="s">
        <v>29</v>
      </c>
      <c r="R137" s="1293"/>
      <c r="S137" s="1292"/>
      <c r="T137" s="1292"/>
      <c r="U137" s="1294" t="s">
        <v>1054</v>
      </c>
      <c r="W137" s="1293" t="str">
        <f>'🔵クレーム'!C128</f>
        <v/>
      </c>
      <c r="X137" s="1293" t="str">
        <f>'🔵クレーム'!D128</f>
        <v/>
      </c>
      <c r="Y137" s="1292" t="str">
        <f>'🔵クレーム'!I128</f>
        <v/>
      </c>
      <c r="Z137" s="1293" t="str">
        <f>'🔵クレーム'!J128</f>
        <v/>
      </c>
      <c r="AA137" s="1293" t="str">
        <f>'🔵クレーム'!K128</f>
        <v/>
      </c>
      <c r="AB137" s="1293" t="str">
        <f>'🔵クレーム'!L128</f>
        <v/>
      </c>
      <c r="AC137" s="1295" t="str">
        <f>'🔵クレーム'!N128</f>
        <v/>
      </c>
      <c r="AH137" s="274"/>
    </row>
    <row r="138">
      <c r="B138" s="1270" t="str">
        <f>IFERROR(__xludf.DUMMYFUNCTION("""COMPUTED_VALUE"""),"7月")</f>
        <v>7月</v>
      </c>
      <c r="C138" s="1270" t="str">
        <f>IFERROR(__xludf.DUMMYFUNCTION("""COMPUTED_VALUE"""),"19日")</f>
        <v>19日</v>
      </c>
      <c r="D138" s="1270" t="str">
        <f>IFERROR(__xludf.DUMMYFUNCTION("""COMPUTED_VALUE"""),"汚れ")</f>
        <v>汚れ</v>
      </c>
      <c r="E138" s="1338" t="str">
        <f>IFERROR(__xludf.DUMMYFUNCTION("""COMPUTED_VALUE"""),"アルマ")</f>
        <v>アルマ</v>
      </c>
      <c r="F138" s="1338" t="str">
        <f>IFERROR(__xludf.DUMMYFUNCTION("""COMPUTED_VALUE"""),"プスカル")</f>
        <v>プスカル</v>
      </c>
      <c r="G138" s="1339" t="str">
        <f>IFERROR(__xludf.DUMMYFUNCTION("""COMPUTED_VALUE"""),"電話が汚れている")</f>
        <v>電話が汚れている</v>
      </c>
      <c r="H138" s="220"/>
      <c r="I138" s="220"/>
      <c r="J138" s="5"/>
      <c r="K138" s="1282"/>
      <c r="L138" s="1282"/>
      <c r="O138" s="1292" t="s">
        <v>71</v>
      </c>
      <c r="P138" s="1292" t="s">
        <v>790</v>
      </c>
      <c r="Q138" s="1292" t="s">
        <v>29</v>
      </c>
      <c r="R138" s="1293"/>
      <c r="S138" s="1292"/>
      <c r="T138" s="1292"/>
      <c r="U138" s="1294" t="s">
        <v>1067</v>
      </c>
      <c r="W138" s="1293" t="str">
        <f>'🔵クレーム'!C129</f>
        <v/>
      </c>
      <c r="X138" s="1293" t="str">
        <f>'🔵クレーム'!D129</f>
        <v/>
      </c>
      <c r="Y138" s="1292" t="str">
        <f>'🔵クレーム'!I129</f>
        <v/>
      </c>
      <c r="Z138" s="1293" t="str">
        <f>'🔵クレーム'!J129</f>
        <v/>
      </c>
      <c r="AA138" s="1293" t="str">
        <f>'🔵クレーム'!K129</f>
        <v/>
      </c>
      <c r="AB138" s="1293" t="str">
        <f>'🔵クレーム'!L129</f>
        <v/>
      </c>
      <c r="AC138" s="1295" t="str">
        <f>'🔵クレーム'!N129</f>
        <v/>
      </c>
      <c r="AH138" s="274"/>
    </row>
    <row r="139">
      <c r="B139" s="1270" t="str">
        <f>IFERROR(__xludf.DUMMYFUNCTION("""COMPUTED_VALUE"""),"8月")</f>
        <v>8月</v>
      </c>
      <c r="C139" s="1270" t="str">
        <f>IFERROR(__xludf.DUMMYFUNCTION("""COMPUTED_VALUE"""),"2日")</f>
        <v>2日</v>
      </c>
      <c r="D139" s="1270" t="str">
        <f>IFERROR(__xludf.DUMMYFUNCTION("""COMPUTED_VALUE"""),"残置")</f>
        <v>残置</v>
      </c>
      <c r="E139" s="1338" t="str">
        <f>IFERROR(__xludf.DUMMYFUNCTION("""COMPUTED_VALUE"""),"アルマ")</f>
        <v>アルマ</v>
      </c>
      <c r="F139" s="1338" t="str">
        <f>IFERROR(__xludf.DUMMYFUNCTION("""COMPUTED_VALUE"""),"プスカル")</f>
        <v>プスカル</v>
      </c>
      <c r="G139" s="1339" t="str">
        <f>IFERROR(__xludf.DUMMYFUNCTION("""COMPUTED_VALUE"""),"机の下に男性の下着が落ちていた")</f>
        <v>机の下に男性の下着が落ちていた</v>
      </c>
      <c r="H139" s="220"/>
      <c r="I139" s="220"/>
      <c r="J139" s="5"/>
      <c r="K139" s="1282"/>
      <c r="L139" s="1282"/>
      <c r="O139" s="1292" t="s">
        <v>73</v>
      </c>
      <c r="P139" s="1292" t="s">
        <v>938</v>
      </c>
      <c r="Q139" s="1292" t="s">
        <v>40</v>
      </c>
      <c r="R139" s="1293"/>
      <c r="S139" s="1292" t="s">
        <v>200</v>
      </c>
      <c r="T139" s="1292"/>
      <c r="U139" s="1294" t="s">
        <v>1068</v>
      </c>
      <c r="W139" s="1293" t="str">
        <f>'🔵クレーム'!C130</f>
        <v/>
      </c>
      <c r="X139" s="1293" t="str">
        <f>'🔵クレーム'!D130</f>
        <v/>
      </c>
      <c r="Y139" s="1292" t="str">
        <f>'🔵クレーム'!I130</f>
        <v/>
      </c>
      <c r="Z139" s="1293" t="str">
        <f>'🔵クレーム'!J130</f>
        <v/>
      </c>
      <c r="AA139" s="1293" t="str">
        <f>'🔵クレーム'!K130</f>
        <v/>
      </c>
      <c r="AB139" s="1293" t="str">
        <f>'🔵クレーム'!L130</f>
        <v/>
      </c>
      <c r="AC139" s="1295" t="str">
        <f>'🔵クレーム'!N130</f>
        <v/>
      </c>
      <c r="AH139" s="274"/>
    </row>
    <row r="140">
      <c r="B140" s="1270" t="str">
        <f>IFERROR(__xludf.DUMMYFUNCTION("""COMPUTED_VALUE"""),"8月")</f>
        <v>8月</v>
      </c>
      <c r="C140" s="1270" t="str">
        <f>IFERROR(__xludf.DUMMYFUNCTION("""COMPUTED_VALUE"""),"4日")</f>
        <v>4日</v>
      </c>
      <c r="D140" s="1270" t="str">
        <f>IFERROR(__xludf.DUMMYFUNCTION("""COMPUTED_VALUE"""),"その他")</f>
        <v>その他</v>
      </c>
      <c r="E140" s="1338" t="str">
        <f>IFERROR(__xludf.DUMMYFUNCTION("""COMPUTED_VALUE"""),"サムジャナ")</f>
        <v>サムジャナ</v>
      </c>
      <c r="F140" s="1338" t="str">
        <f>IFERROR(__xludf.DUMMYFUNCTION("""COMPUTED_VALUE"""),"ナビナ")</f>
        <v>ナビナ</v>
      </c>
      <c r="G140" s="1339" t="str">
        <f>IFERROR(__xludf.DUMMYFUNCTION("""COMPUTED_VALUE"""),"エスニック臭が部屋に充満していた。")</f>
        <v>エスニック臭が部屋に充満していた。</v>
      </c>
      <c r="H140" s="220"/>
      <c r="I140" s="220"/>
      <c r="J140" s="5"/>
      <c r="K140" s="1282"/>
      <c r="L140" s="1282"/>
      <c r="O140" s="1292" t="s">
        <v>73</v>
      </c>
      <c r="P140" s="1292" t="s">
        <v>938</v>
      </c>
      <c r="Q140" s="1292" t="s">
        <v>29</v>
      </c>
      <c r="R140" s="1293"/>
      <c r="S140" s="1292"/>
      <c r="T140" s="1292"/>
      <c r="U140" s="1294" t="s">
        <v>1069</v>
      </c>
      <c r="W140" s="1293" t="str">
        <f>'🔵クレーム'!C131</f>
        <v/>
      </c>
      <c r="X140" s="1293" t="str">
        <f>'🔵クレーム'!D131</f>
        <v/>
      </c>
      <c r="Y140" s="1292" t="str">
        <f>'🔵クレーム'!I131</f>
        <v/>
      </c>
      <c r="Z140" s="1293" t="str">
        <f>'🔵クレーム'!J131</f>
        <v/>
      </c>
      <c r="AA140" s="1293" t="str">
        <f>'🔵クレーム'!K131</f>
        <v/>
      </c>
      <c r="AB140" s="1293" t="str">
        <f>'🔵クレーム'!L131</f>
        <v/>
      </c>
      <c r="AC140" s="1295" t="str">
        <f>'🔵クレーム'!N131</f>
        <v/>
      </c>
      <c r="AH140" s="274"/>
    </row>
    <row r="141">
      <c r="B141" s="1270" t="str">
        <f>IFERROR(__xludf.DUMMYFUNCTION("""COMPUTED_VALUE"""),"8月")</f>
        <v>8月</v>
      </c>
      <c r="C141" s="1270" t="str">
        <f>IFERROR(__xludf.DUMMYFUNCTION("""COMPUTED_VALUE"""),"6日")</f>
        <v>6日</v>
      </c>
      <c r="D141" s="1270" t="str">
        <f>IFERROR(__xludf.DUMMYFUNCTION("""COMPUTED_VALUE"""),"その他")</f>
        <v>その他</v>
      </c>
      <c r="E141" s="1338" t="str">
        <f>IFERROR(__xludf.DUMMYFUNCTION("""COMPUTED_VALUE"""),"サムジャナ")</f>
        <v>サムジャナ</v>
      </c>
      <c r="F141" s="1338" t="str">
        <f>IFERROR(__xludf.DUMMYFUNCTION("""COMPUTED_VALUE"""),"サンティ")</f>
        <v>サンティ</v>
      </c>
      <c r="G141" s="1339" t="str">
        <f>IFERROR(__xludf.DUMMYFUNCTION("""COMPUTED_VALUE"""),"UBが匂う")</f>
        <v>UBが匂う</v>
      </c>
      <c r="H141" s="220"/>
      <c r="I141" s="220"/>
      <c r="J141" s="5"/>
      <c r="K141" s="1282"/>
      <c r="L141" s="1282"/>
      <c r="O141" s="1292" t="s">
        <v>73</v>
      </c>
      <c r="P141" s="1292" t="s">
        <v>193</v>
      </c>
      <c r="Q141" s="1292" t="s">
        <v>40</v>
      </c>
      <c r="R141" s="1293"/>
      <c r="S141" s="1292" t="s">
        <v>119</v>
      </c>
      <c r="T141" s="1292" t="s">
        <v>197</v>
      </c>
      <c r="U141" s="1294" t="s">
        <v>1070</v>
      </c>
      <c r="W141" s="1293" t="str">
        <f>'🔵クレーム'!C132</f>
        <v/>
      </c>
      <c r="X141" s="1293" t="str">
        <f>'🔵クレーム'!D132</f>
        <v/>
      </c>
      <c r="Y141" s="1292" t="str">
        <f>'🔵クレーム'!I132</f>
        <v/>
      </c>
      <c r="Z141" s="1293" t="str">
        <f>'🔵クレーム'!J132</f>
        <v/>
      </c>
      <c r="AA141" s="1293" t="str">
        <f>'🔵クレーム'!K132</f>
        <v/>
      </c>
      <c r="AB141" s="1293" t="str">
        <f>'🔵クレーム'!L132</f>
        <v/>
      </c>
      <c r="AC141" s="1295" t="str">
        <f>'🔵クレーム'!N132</f>
        <v/>
      </c>
      <c r="AH141" s="274"/>
    </row>
    <row r="142">
      <c r="B142" s="1270" t="str">
        <f>IFERROR(__xludf.DUMMYFUNCTION("""COMPUTED_VALUE"""),"8月")</f>
        <v>8月</v>
      </c>
      <c r="C142" s="1270" t="str">
        <f>IFERROR(__xludf.DUMMYFUNCTION("""COMPUTED_VALUE"""),"15日")</f>
        <v>15日</v>
      </c>
      <c r="D142" s="1270" t="str">
        <f>IFERROR(__xludf.DUMMYFUNCTION("""COMPUTED_VALUE"""),"残置")</f>
        <v>残置</v>
      </c>
      <c r="E142" s="1338" t="str">
        <f>IFERROR(__xludf.DUMMYFUNCTION("""COMPUTED_VALUE"""),"山田")</f>
        <v>山田</v>
      </c>
      <c r="F142" s="1338" t="str">
        <f>IFERROR(__xludf.DUMMYFUNCTION("""COMPUTED_VALUE"""),"サンジュ")</f>
        <v>サンジュ</v>
      </c>
      <c r="G142" s="1339" t="str">
        <f>IFERROR(__xludf.DUMMYFUNCTION("""COMPUTED_VALUE"""),"冷蔵庫の中に前泊者のモノあり")</f>
        <v>冷蔵庫の中に前泊者のモノあり</v>
      </c>
      <c r="H142" s="220"/>
      <c r="I142" s="220"/>
      <c r="J142" s="5"/>
      <c r="K142" s="1282"/>
      <c r="L142" s="1282"/>
      <c r="O142" s="1292" t="s">
        <v>73</v>
      </c>
      <c r="P142" s="1292" t="s">
        <v>124</v>
      </c>
      <c r="Q142" s="1292" t="s">
        <v>39</v>
      </c>
      <c r="R142" s="1293"/>
      <c r="S142" s="1292" t="s">
        <v>141</v>
      </c>
      <c r="T142" s="1292" t="s">
        <v>640</v>
      </c>
      <c r="U142" s="1294" t="s">
        <v>1071</v>
      </c>
      <c r="W142" s="1293" t="str">
        <f>'🔵クレーム'!C133</f>
        <v/>
      </c>
      <c r="X142" s="1293" t="str">
        <f>'🔵クレーム'!D133</f>
        <v/>
      </c>
      <c r="Y142" s="1292" t="str">
        <f>'🔵クレーム'!I133</f>
        <v/>
      </c>
      <c r="Z142" s="1293" t="str">
        <f>'🔵クレーム'!J133</f>
        <v/>
      </c>
      <c r="AA142" s="1293" t="str">
        <f>'🔵クレーム'!K133</f>
        <v/>
      </c>
      <c r="AB142" s="1293" t="str">
        <f>'🔵クレーム'!L133</f>
        <v/>
      </c>
      <c r="AC142" s="1295" t="str">
        <f>'🔵クレーム'!N133</f>
        <v/>
      </c>
      <c r="AH142" s="274"/>
    </row>
    <row r="143">
      <c r="B143" s="1270" t="str">
        <f>IFERROR(__xludf.DUMMYFUNCTION("""COMPUTED_VALUE"""),"8月")</f>
        <v>8月</v>
      </c>
      <c r="C143" s="1270" t="str">
        <f>IFERROR(__xludf.DUMMYFUNCTION("""COMPUTED_VALUE"""),"30日")</f>
        <v>30日</v>
      </c>
      <c r="D143" s="1270" t="str">
        <f>IFERROR(__xludf.DUMMYFUNCTION("""COMPUTED_VALUE"""),"手配ミス")</f>
        <v>手配ミス</v>
      </c>
      <c r="E143" s="1338" t="str">
        <f>IFERROR(__xludf.DUMMYFUNCTION("""COMPUTED_VALUE"""),"ジェ")</f>
        <v>ジェ</v>
      </c>
      <c r="F143" s="1338"/>
      <c r="G143" s="1339" t="str">
        <f>IFERROR(__xludf.DUMMYFUNCTION("""COMPUTED_VALUE"""),"タオルセットドアかけしてなかった")</f>
        <v>タオルセットドアかけしてなかった</v>
      </c>
      <c r="H143" s="220"/>
      <c r="I143" s="220"/>
      <c r="J143" s="5"/>
      <c r="K143" s="1282"/>
      <c r="L143" s="1282"/>
      <c r="O143" s="1292" t="s">
        <v>73</v>
      </c>
      <c r="P143" s="1292" t="s">
        <v>152</v>
      </c>
      <c r="Q143" s="1292" t="s">
        <v>29</v>
      </c>
      <c r="R143" s="1293"/>
      <c r="S143" s="1292"/>
      <c r="T143" s="1292"/>
      <c r="U143" s="1294" t="s">
        <v>1072</v>
      </c>
      <c r="W143" s="1293" t="str">
        <f>'🔵クレーム'!C134</f>
        <v/>
      </c>
      <c r="X143" s="1293" t="str">
        <f>'🔵クレーム'!D134</f>
        <v/>
      </c>
      <c r="Y143" s="1292" t="str">
        <f>'🔵クレーム'!I134</f>
        <v/>
      </c>
      <c r="Z143" s="1293" t="str">
        <f>'🔵クレーム'!J134</f>
        <v/>
      </c>
      <c r="AA143" s="1293" t="str">
        <f>'🔵クレーム'!K134</f>
        <v/>
      </c>
      <c r="AB143" s="1293" t="str">
        <f>'🔵クレーム'!L134</f>
        <v/>
      </c>
      <c r="AC143" s="1295" t="str">
        <f>'🔵クレーム'!N134</f>
        <v/>
      </c>
      <c r="AH143" s="274"/>
    </row>
    <row r="144">
      <c r="B144" s="1270" t="str">
        <f>IFERROR(__xludf.DUMMYFUNCTION("""COMPUTED_VALUE"""),"8月")</f>
        <v>8月</v>
      </c>
      <c r="C144" s="1270" t="str">
        <f>IFERROR(__xludf.DUMMYFUNCTION("""COMPUTED_VALUE"""),"31日")</f>
        <v>31日</v>
      </c>
      <c r="D144" s="1270" t="str">
        <f>IFERROR(__xludf.DUMMYFUNCTION("""COMPUTED_VALUE"""),"口コミ")</f>
        <v>口コミ</v>
      </c>
      <c r="E144" s="1338"/>
      <c r="F144" s="1338"/>
      <c r="G144" s="1339" t="str">
        <f>IFERROR(__xludf.DUMMYFUNCTION("""COMPUTED_VALUE"""),"ガウン、シャワーカーテンニオイあり")</f>
        <v>ガウン、シャワーカーテンニオイあり</v>
      </c>
      <c r="H144" s="220"/>
      <c r="I144" s="220"/>
      <c r="J144" s="5"/>
      <c r="K144" s="1282"/>
      <c r="L144" s="1282"/>
      <c r="O144" s="1292" t="s">
        <v>73</v>
      </c>
      <c r="P144" s="1292" t="s">
        <v>1006</v>
      </c>
      <c r="Q144" s="1292" t="s">
        <v>31</v>
      </c>
      <c r="R144" s="1293"/>
      <c r="S144" s="1292"/>
      <c r="T144" s="1292" t="s">
        <v>493</v>
      </c>
      <c r="U144" s="1294" t="s">
        <v>1073</v>
      </c>
      <c r="W144" s="1293" t="str">
        <f>'🔵クレーム'!C135</f>
        <v/>
      </c>
      <c r="X144" s="1293" t="str">
        <f>'🔵クレーム'!D135</f>
        <v/>
      </c>
      <c r="Y144" s="1292" t="str">
        <f>'🔵クレーム'!I135</f>
        <v/>
      </c>
      <c r="Z144" s="1293" t="str">
        <f>'🔵クレーム'!J135</f>
        <v/>
      </c>
      <c r="AA144" s="1293" t="str">
        <f>'🔵クレーム'!K135</f>
        <v/>
      </c>
      <c r="AB144" s="1293" t="str">
        <f>'🔵クレーム'!L135</f>
        <v/>
      </c>
      <c r="AC144" s="1295" t="str">
        <f>'🔵クレーム'!N135</f>
        <v/>
      </c>
      <c r="AH144" s="274"/>
    </row>
    <row r="145">
      <c r="B145" s="1270" t="str">
        <f>IFERROR(__xludf.DUMMYFUNCTION("""COMPUTED_VALUE"""),"9月")</f>
        <v>9月</v>
      </c>
      <c r="C145" s="1270" t="str">
        <f>IFERROR(__xludf.DUMMYFUNCTION("""COMPUTED_VALUE"""),"2日")</f>
        <v>2日</v>
      </c>
      <c r="D145" s="1270" t="str">
        <f>IFERROR(__xludf.DUMMYFUNCTION("""COMPUTED_VALUE"""),"手配ミス")</f>
        <v>手配ミス</v>
      </c>
      <c r="E145" s="1338" t="str">
        <f>IFERROR(__xludf.DUMMYFUNCTION("""COMPUTED_VALUE"""),"デイパック")</f>
        <v>デイパック</v>
      </c>
      <c r="F145" s="1338" t="str">
        <f>IFERROR(__xludf.DUMMYFUNCTION("""COMPUTED_VALUE"""),"ナビナ")</f>
        <v>ナビナ</v>
      </c>
      <c r="G145" s="1339" t="str">
        <f>IFERROR(__xludf.DUMMYFUNCTION("""COMPUTED_VALUE"""),"TV点かないコンセント抜けてた。")</f>
        <v>TV点かないコンセント抜けてた。</v>
      </c>
      <c r="H145" s="220"/>
      <c r="I145" s="220"/>
      <c r="J145" s="5"/>
      <c r="K145" s="1282"/>
      <c r="L145" s="1282"/>
      <c r="O145" s="1292" t="s">
        <v>73</v>
      </c>
      <c r="P145" s="1292" t="s">
        <v>152</v>
      </c>
      <c r="Q145" s="1292" t="s">
        <v>31</v>
      </c>
      <c r="R145" s="1293"/>
      <c r="S145" s="1292"/>
      <c r="T145" s="1292" t="s">
        <v>137</v>
      </c>
      <c r="U145" s="1294" t="s">
        <v>1074</v>
      </c>
      <c r="W145" s="1293" t="str">
        <f>'🔵クレーム'!C136</f>
        <v/>
      </c>
      <c r="X145" s="1293" t="str">
        <f>'🔵クレーム'!D136</f>
        <v/>
      </c>
      <c r="Y145" s="1292" t="str">
        <f>'🔵クレーム'!I136</f>
        <v/>
      </c>
      <c r="Z145" s="1293" t="str">
        <f>'🔵クレーム'!J136</f>
        <v/>
      </c>
      <c r="AA145" s="1293" t="str">
        <f>'🔵クレーム'!K136</f>
        <v/>
      </c>
      <c r="AB145" s="1293" t="str">
        <f>'🔵クレーム'!L136</f>
        <v/>
      </c>
      <c r="AC145" s="1295" t="str">
        <f>'🔵クレーム'!N136</f>
        <v/>
      </c>
      <c r="AH145" s="274"/>
    </row>
    <row r="146">
      <c r="B146" s="1270" t="str">
        <f>IFERROR(__xludf.DUMMYFUNCTION("""COMPUTED_VALUE"""),"9月")</f>
        <v>9月</v>
      </c>
      <c r="C146" s="1270" t="str">
        <f>IFERROR(__xludf.DUMMYFUNCTION("""COMPUTED_VALUE"""),"4日")</f>
        <v>4日</v>
      </c>
      <c r="D146" s="1270" t="str">
        <f>IFERROR(__xludf.DUMMYFUNCTION("""COMPUTED_VALUE"""),"手配ミス")</f>
        <v>手配ミス</v>
      </c>
      <c r="E146" s="1338" t="str">
        <f>IFERROR(__xludf.DUMMYFUNCTION("""COMPUTED_VALUE"""),"イラノ")</f>
        <v>イラノ</v>
      </c>
      <c r="F146" s="1338"/>
      <c r="G146" s="1339" t="str">
        <f>IFERROR(__xludf.DUMMYFUNCTION("""COMPUTED_VALUE"""),"タオルセットドアかけしてなかった")</f>
        <v>タオルセットドアかけしてなかった</v>
      </c>
      <c r="H146" s="220"/>
      <c r="I146" s="220"/>
      <c r="J146" s="5"/>
      <c r="K146" s="1282"/>
      <c r="L146" s="1282"/>
      <c r="O146" s="1292" t="s">
        <v>73</v>
      </c>
      <c r="P146" s="1292" t="s">
        <v>1049</v>
      </c>
      <c r="Q146" s="1292" t="s">
        <v>31</v>
      </c>
      <c r="R146" s="1293"/>
      <c r="S146" s="1292"/>
      <c r="T146" s="1292" t="s">
        <v>489</v>
      </c>
      <c r="U146" s="1294" t="s">
        <v>1075</v>
      </c>
      <c r="W146" s="1293" t="str">
        <f>'🔵クレーム'!C137</f>
        <v/>
      </c>
      <c r="X146" s="1293" t="str">
        <f>'🔵クレーム'!D137</f>
        <v/>
      </c>
      <c r="Y146" s="1292" t="str">
        <f>'🔵クレーム'!I137</f>
        <v/>
      </c>
      <c r="Z146" s="1293" t="str">
        <f>'🔵クレーム'!J137</f>
        <v/>
      </c>
      <c r="AA146" s="1293" t="str">
        <f>'🔵クレーム'!K137</f>
        <v/>
      </c>
      <c r="AB146" s="1293" t="str">
        <f>'🔵クレーム'!L137</f>
        <v/>
      </c>
      <c r="AC146" s="1295" t="str">
        <f>'🔵クレーム'!N137</f>
        <v/>
      </c>
      <c r="AH146" s="274"/>
    </row>
    <row r="147">
      <c r="B147" s="1270" t="str">
        <f>IFERROR(__xludf.DUMMYFUNCTION("""COMPUTED_VALUE"""),"9月")</f>
        <v>9月</v>
      </c>
      <c r="C147" s="1270" t="str">
        <f>IFERROR(__xludf.DUMMYFUNCTION("""COMPUTED_VALUE"""),"10日")</f>
        <v>10日</v>
      </c>
      <c r="D147" s="1270" t="str">
        <f>IFERROR(__xludf.DUMMYFUNCTION("""COMPUTED_VALUE"""),"口コミ")</f>
        <v>口コミ</v>
      </c>
      <c r="E147" s="1338"/>
      <c r="F147" s="1338"/>
      <c r="G147" s="1339" t="str">
        <f>IFERROR(__xludf.DUMMYFUNCTION("""COMPUTED_VALUE"""),"便座、ゴミ箱の位置が変だった")</f>
        <v>便座、ゴミ箱の位置が変だった</v>
      </c>
      <c r="H147" s="220"/>
      <c r="I147" s="220"/>
      <c r="J147" s="5"/>
      <c r="K147" s="1282"/>
      <c r="L147" s="1282"/>
      <c r="O147" s="1292" t="s">
        <v>73</v>
      </c>
      <c r="P147" s="1292" t="s">
        <v>792</v>
      </c>
      <c r="Q147" s="1292" t="s">
        <v>39</v>
      </c>
      <c r="R147" s="1293"/>
      <c r="S147" s="1292" t="s">
        <v>947</v>
      </c>
      <c r="T147" s="1292" t="s">
        <v>948</v>
      </c>
      <c r="U147" s="1294" t="s">
        <v>1076</v>
      </c>
      <c r="W147" s="1293" t="str">
        <f>'🔵クレーム'!C138</f>
        <v/>
      </c>
      <c r="X147" s="1293" t="str">
        <f>'🔵クレーム'!D138</f>
        <v/>
      </c>
      <c r="Y147" s="1292" t="str">
        <f>'🔵クレーム'!I138</f>
        <v/>
      </c>
      <c r="Z147" s="1293" t="str">
        <f>'🔵クレーム'!J138</f>
        <v/>
      </c>
      <c r="AA147" s="1293" t="str">
        <f>'🔵クレーム'!K138</f>
        <v/>
      </c>
      <c r="AB147" s="1293" t="str">
        <f>'🔵クレーム'!L138</f>
        <v/>
      </c>
      <c r="AC147" s="1295" t="str">
        <f>'🔵クレーム'!N138</f>
        <v/>
      </c>
      <c r="AH147" s="274"/>
    </row>
    <row r="148">
      <c r="B148" s="1270" t="str">
        <f>IFERROR(__xludf.DUMMYFUNCTION("""COMPUTED_VALUE"""),"9月")</f>
        <v>9月</v>
      </c>
      <c r="C148" s="1270" t="str">
        <f>IFERROR(__xludf.DUMMYFUNCTION("""COMPUTED_VALUE"""),"10日")</f>
        <v>10日</v>
      </c>
      <c r="D148" s="1270" t="str">
        <f>IFERROR(__xludf.DUMMYFUNCTION("""COMPUTED_VALUE"""),"口コミ")</f>
        <v>口コミ</v>
      </c>
      <c r="E148" s="1338"/>
      <c r="F148" s="1338"/>
      <c r="G148" s="1339" t="str">
        <f>IFERROR(__xludf.DUMMYFUNCTION("""COMPUTED_VALUE"""),"枕、ガウンニオイ")</f>
        <v>枕、ガウンニオイ</v>
      </c>
      <c r="H148" s="220"/>
      <c r="I148" s="220"/>
      <c r="J148" s="5"/>
      <c r="K148" s="1282"/>
      <c r="L148" s="1282"/>
      <c r="O148" s="1292" t="s">
        <v>73</v>
      </c>
      <c r="P148" s="1292" t="s">
        <v>219</v>
      </c>
      <c r="Q148" s="1292" t="s">
        <v>38</v>
      </c>
      <c r="R148" s="1293"/>
      <c r="S148" s="1293"/>
      <c r="T148" s="1292" t="s">
        <v>494</v>
      </c>
      <c r="U148" s="1294" t="s">
        <v>1077</v>
      </c>
      <c r="W148" s="1293" t="str">
        <f>'🔵クレーム'!C139</f>
        <v/>
      </c>
      <c r="X148" s="1293" t="str">
        <f>'🔵クレーム'!D139</f>
        <v/>
      </c>
      <c r="Y148" s="1292" t="str">
        <f>'🔵クレーム'!I139</f>
        <v/>
      </c>
      <c r="Z148" s="1293" t="str">
        <f>'🔵クレーム'!J139</f>
        <v/>
      </c>
      <c r="AA148" s="1293" t="str">
        <f>'🔵クレーム'!K139</f>
        <v/>
      </c>
      <c r="AB148" s="1293" t="str">
        <f>'🔵クレーム'!L139</f>
        <v/>
      </c>
      <c r="AC148" s="1295" t="str">
        <f>'🔵クレーム'!N139</f>
        <v/>
      </c>
      <c r="AH148" s="274"/>
    </row>
    <row r="149">
      <c r="B149" s="1270" t="str">
        <f>IFERROR(__xludf.DUMMYFUNCTION("""COMPUTED_VALUE"""),"9月")</f>
        <v>9月</v>
      </c>
      <c r="C149" s="1270" t="str">
        <f>IFERROR(__xludf.DUMMYFUNCTION("""COMPUTED_VALUE"""),"14日")</f>
        <v>14日</v>
      </c>
      <c r="D149" s="1270" t="str">
        <f>IFERROR(__xludf.DUMMYFUNCTION("""COMPUTED_VALUE"""),"残置")</f>
        <v>残置</v>
      </c>
      <c r="E149" s="1338" t="str">
        <f>IFERROR(__xludf.DUMMYFUNCTION("""COMPUTED_VALUE"""),"エマ")</f>
        <v>エマ</v>
      </c>
      <c r="F149" s="1338" t="str">
        <f>IFERROR(__xludf.DUMMYFUNCTION("""COMPUTED_VALUE"""),"ビマラ")</f>
        <v>ビマラ</v>
      </c>
      <c r="G149" s="1339" t="str">
        <f>IFERROR(__xludf.DUMMYFUNCTION("""COMPUTED_VALUE"""),"TVの後ろにカップ麵があった")</f>
        <v>TVの後ろにカップ麵があった</v>
      </c>
      <c r="H149" s="220"/>
      <c r="I149" s="220"/>
      <c r="J149" s="5"/>
      <c r="K149" s="1282"/>
      <c r="L149" s="1282"/>
      <c r="O149" s="1293"/>
      <c r="P149" s="1293"/>
      <c r="Q149" s="1293"/>
      <c r="R149" s="1293"/>
      <c r="S149" s="1293"/>
      <c r="T149" s="1293"/>
      <c r="U149" s="1295"/>
      <c r="W149" s="1293" t="str">
        <f>'🔵クレーム'!C140</f>
        <v/>
      </c>
      <c r="X149" s="1293" t="str">
        <f>'🔵クレーム'!D140</f>
        <v/>
      </c>
      <c r="Y149" s="1292" t="str">
        <f>'🔵クレーム'!I140</f>
        <v/>
      </c>
      <c r="Z149" s="1293" t="str">
        <f>'🔵クレーム'!J140</f>
        <v/>
      </c>
      <c r="AA149" s="1293" t="str">
        <f>'🔵クレーム'!K140</f>
        <v/>
      </c>
      <c r="AB149" s="1293" t="str">
        <f>'🔵クレーム'!L140</f>
        <v/>
      </c>
      <c r="AC149" s="1295" t="str">
        <f>'🔵クレーム'!N140</f>
        <v/>
      </c>
      <c r="AH149" s="274"/>
    </row>
    <row r="150">
      <c r="B150" s="1270" t="str">
        <f>IFERROR(__xludf.DUMMYFUNCTION("""COMPUTED_VALUE"""),"9月")</f>
        <v>9月</v>
      </c>
      <c r="C150" s="1270" t="str">
        <f>IFERROR(__xludf.DUMMYFUNCTION("""COMPUTED_VALUE"""),"16日")</f>
        <v>16日</v>
      </c>
      <c r="D150" s="1270" t="str">
        <f>IFERROR(__xludf.DUMMYFUNCTION("""COMPUTED_VALUE"""),"汚れ")</f>
        <v>汚れ</v>
      </c>
      <c r="E150" s="1338" t="str">
        <f>IFERROR(__xludf.DUMMYFUNCTION("""COMPUTED_VALUE"""),"アニル")</f>
        <v>アニル</v>
      </c>
      <c r="F150" s="1338" t="str">
        <f>IFERROR(__xludf.DUMMYFUNCTION("""COMPUTED_VALUE"""),"サンティ")</f>
        <v>サンティ</v>
      </c>
      <c r="G150" s="1339" t="str">
        <f>IFERROR(__xludf.DUMMYFUNCTION("""COMPUTED_VALUE"""),"ガウン汚れあり")</f>
        <v>ガウン汚れあり</v>
      </c>
      <c r="H150" s="220"/>
      <c r="I150" s="220"/>
      <c r="J150" s="5"/>
      <c r="K150" s="1282"/>
      <c r="L150" s="1282"/>
      <c r="O150" s="1293"/>
      <c r="P150" s="1293"/>
      <c r="Q150" s="1293"/>
      <c r="R150" s="1293"/>
      <c r="S150" s="1293"/>
      <c r="T150" s="1293"/>
      <c r="U150" s="1295"/>
      <c r="W150" s="1293" t="str">
        <f>'🔵クレーム'!C141</f>
        <v/>
      </c>
      <c r="X150" s="1293" t="str">
        <f>'🔵クレーム'!D141</f>
        <v/>
      </c>
      <c r="Y150" s="1292" t="str">
        <f>'🔵クレーム'!I141</f>
        <v/>
      </c>
      <c r="Z150" s="1293" t="str">
        <f>'🔵クレーム'!J141</f>
        <v/>
      </c>
      <c r="AA150" s="1293" t="str">
        <f>'🔵クレーム'!K141</f>
        <v/>
      </c>
      <c r="AB150" s="1293" t="str">
        <f>'🔵クレーム'!L141</f>
        <v/>
      </c>
      <c r="AC150" s="1295" t="str">
        <f>'🔵クレーム'!N141</f>
        <v/>
      </c>
      <c r="AH150" s="274"/>
    </row>
    <row r="151">
      <c r="B151" s="1270" t="str">
        <f>IFERROR(__xludf.DUMMYFUNCTION("""COMPUTED_VALUE"""),"9月")</f>
        <v>9月</v>
      </c>
      <c r="C151" s="1270" t="str">
        <f>IFERROR(__xludf.DUMMYFUNCTION("""COMPUTED_VALUE"""),"17日")</f>
        <v>17日</v>
      </c>
      <c r="D151" s="1270" t="str">
        <f>IFERROR(__xludf.DUMMYFUNCTION("""COMPUTED_VALUE"""),"その他")</f>
        <v>その他</v>
      </c>
      <c r="E151" s="1338" t="str">
        <f>IFERROR(__xludf.DUMMYFUNCTION("""COMPUTED_VALUE"""),"ディパク")</f>
        <v>ディパク</v>
      </c>
      <c r="F151" s="1338" t="str">
        <f>IFERROR(__xludf.DUMMYFUNCTION("""COMPUTED_VALUE"""),"シルジャナ")</f>
        <v>シルジャナ</v>
      </c>
      <c r="G151" s="1339" t="str">
        <f>IFERROR(__xludf.DUMMYFUNCTION("""COMPUTED_VALUE"""),"シャワーヘッドが取れた")</f>
        <v>シャワーヘッドが取れた</v>
      </c>
      <c r="H151" s="220"/>
      <c r="I151" s="220"/>
      <c r="J151" s="5"/>
      <c r="K151" s="1282"/>
      <c r="L151" s="1282"/>
      <c r="O151" s="1293"/>
      <c r="P151" s="1293"/>
      <c r="Q151" s="1293"/>
      <c r="R151" s="1293"/>
      <c r="S151" s="1293"/>
      <c r="T151" s="1293"/>
      <c r="U151" s="1295"/>
      <c r="W151" s="1293" t="str">
        <f>'🔵クレーム'!C142</f>
        <v/>
      </c>
      <c r="X151" s="1293" t="str">
        <f>'🔵クレーム'!D142</f>
        <v/>
      </c>
      <c r="Y151" s="1292" t="str">
        <f>'🔵クレーム'!I142</f>
        <v/>
      </c>
      <c r="Z151" s="1293" t="str">
        <f>'🔵クレーム'!J142</f>
        <v/>
      </c>
      <c r="AA151" s="1293" t="str">
        <f>'🔵クレーム'!K142</f>
        <v/>
      </c>
      <c r="AB151" s="1293" t="str">
        <f>'🔵クレーム'!L142</f>
        <v/>
      </c>
      <c r="AC151" s="1295" t="str">
        <f>'🔵クレーム'!N142</f>
        <v/>
      </c>
      <c r="AH151" s="274"/>
    </row>
    <row r="152">
      <c r="B152" s="1270" t="str">
        <f>IFERROR(__xludf.DUMMYFUNCTION("""COMPUTED_VALUE"""),"9月")</f>
        <v>9月</v>
      </c>
      <c r="C152" s="1270" t="str">
        <f>IFERROR(__xludf.DUMMYFUNCTION("""COMPUTED_VALUE"""),"19日")</f>
        <v>19日</v>
      </c>
      <c r="D152" s="1270" t="str">
        <f>IFERROR(__xludf.DUMMYFUNCTION("""COMPUTED_VALUE"""),"髪の毛")</f>
        <v>髪の毛</v>
      </c>
      <c r="E152" s="1338" t="str">
        <f>IFERROR(__xludf.DUMMYFUNCTION("""COMPUTED_VALUE"""),"アルマ")</f>
        <v>アルマ</v>
      </c>
      <c r="F152" s="1338" t="str">
        <f>IFERROR(__xludf.DUMMYFUNCTION("""COMPUTED_VALUE"""),"モハン")</f>
        <v>モハン</v>
      </c>
      <c r="G152" s="1339" t="str">
        <f>IFERROR(__xludf.DUMMYFUNCTION("""COMPUTED_VALUE"""),"ベッドに髪の毛があった")</f>
        <v>ベッドに髪の毛があった</v>
      </c>
      <c r="H152" s="220"/>
      <c r="I152" s="220"/>
      <c r="J152" s="5"/>
      <c r="K152" s="1282"/>
      <c r="L152" s="1282"/>
      <c r="O152" s="1293"/>
      <c r="P152" s="1293"/>
      <c r="Q152" s="1293"/>
      <c r="R152" s="1293"/>
      <c r="S152" s="1293"/>
      <c r="T152" s="1293"/>
      <c r="U152" s="1295"/>
      <c r="W152" s="1293" t="str">
        <f>'🔵クレーム'!C143</f>
        <v/>
      </c>
      <c r="X152" s="1293" t="str">
        <f>'🔵クレーム'!D143</f>
        <v/>
      </c>
      <c r="Y152" s="1292" t="str">
        <f>'🔵クレーム'!I143</f>
        <v/>
      </c>
      <c r="Z152" s="1293" t="str">
        <f>'🔵クレーム'!J143</f>
        <v/>
      </c>
      <c r="AA152" s="1293" t="str">
        <f>'🔵クレーム'!K143</f>
        <v/>
      </c>
      <c r="AB152" s="1293" t="str">
        <f>'🔵クレーム'!L143</f>
        <v/>
      </c>
      <c r="AC152" s="1295" t="str">
        <f>'🔵クレーム'!N143</f>
        <v/>
      </c>
      <c r="AH152" s="274"/>
    </row>
    <row r="153">
      <c r="B153" s="1270" t="str">
        <f>IFERROR(__xludf.DUMMYFUNCTION("""COMPUTED_VALUE"""),"9月")</f>
        <v>9月</v>
      </c>
      <c r="C153" s="1270" t="str">
        <f>IFERROR(__xludf.DUMMYFUNCTION("""COMPUTED_VALUE"""),"21日")</f>
        <v>21日</v>
      </c>
      <c r="D153" s="1270" t="str">
        <f>IFERROR(__xludf.DUMMYFUNCTION("""COMPUTED_VALUE"""),"口コミ")</f>
        <v>口コミ</v>
      </c>
      <c r="E153" s="1338"/>
      <c r="F153" s="1338"/>
      <c r="G153" s="1339" t="str">
        <f>IFERROR(__xludf.DUMMYFUNCTION("""COMPUTED_VALUE"""),"パジャマの洗濯後の匂いが苦手な匂いだった")</f>
        <v>パジャマの洗濯後の匂いが苦手な匂いだった</v>
      </c>
      <c r="H153" s="220"/>
      <c r="I153" s="220"/>
      <c r="J153" s="5"/>
      <c r="K153" s="1282"/>
      <c r="L153" s="1282"/>
      <c r="O153" s="1293"/>
      <c r="P153" s="1293"/>
      <c r="Q153" s="1293"/>
      <c r="R153" s="1293"/>
      <c r="S153" s="1293"/>
      <c r="T153" s="1293"/>
      <c r="U153" s="1295"/>
      <c r="W153" s="1293" t="str">
        <f>'🔵クレーム'!C144</f>
        <v/>
      </c>
      <c r="X153" s="1293" t="str">
        <f>'🔵クレーム'!D144</f>
        <v/>
      </c>
      <c r="Y153" s="1292" t="str">
        <f>'🔵クレーム'!I144</f>
        <v/>
      </c>
      <c r="Z153" s="1293" t="str">
        <f>'🔵クレーム'!J144</f>
        <v/>
      </c>
      <c r="AA153" s="1293" t="str">
        <f>'🔵クレーム'!K144</f>
        <v/>
      </c>
      <c r="AB153" s="1293" t="str">
        <f>'🔵クレーム'!L144</f>
        <v/>
      </c>
      <c r="AC153" s="1295" t="str">
        <f>'🔵クレーム'!N144</f>
        <v/>
      </c>
      <c r="AH153" s="274"/>
    </row>
    <row r="154">
      <c r="B154" s="1270" t="str">
        <f>IFERROR(__xludf.DUMMYFUNCTION("""COMPUTED_VALUE"""),"9月")</f>
        <v>9月</v>
      </c>
      <c r="C154" s="1270" t="str">
        <f>IFERROR(__xludf.DUMMYFUNCTION("""COMPUTED_VALUE"""),"21日")</f>
        <v>21日</v>
      </c>
      <c r="D154" s="1270" t="str">
        <f>IFERROR(__xludf.DUMMYFUNCTION("""COMPUTED_VALUE"""),"口コミ")</f>
        <v>口コミ</v>
      </c>
      <c r="E154" s="1338"/>
      <c r="F154" s="1338"/>
      <c r="G154" s="1339" t="str">
        <f>IFERROR(__xludf.DUMMYFUNCTION("""COMPUTED_VALUE"""),"ベッドシーツにに髪の毛が付いていた。")</f>
        <v>ベッドシーツにに髪の毛が付いていた。</v>
      </c>
      <c r="H154" s="220"/>
      <c r="I154" s="220"/>
      <c r="J154" s="5"/>
      <c r="K154" s="1282"/>
      <c r="L154" s="1282"/>
      <c r="O154" s="1293"/>
      <c r="P154" s="1293"/>
      <c r="Q154" s="1293"/>
      <c r="R154" s="1293"/>
      <c r="S154" s="1293"/>
      <c r="T154" s="1293"/>
      <c r="U154" s="1295"/>
      <c r="W154" s="1293" t="str">
        <f>'🔵クレーム'!C145</f>
        <v/>
      </c>
      <c r="X154" s="1293" t="str">
        <f>'🔵クレーム'!D145</f>
        <v/>
      </c>
      <c r="Y154" s="1292" t="str">
        <f>'🔵クレーム'!I145</f>
        <v/>
      </c>
      <c r="Z154" s="1293" t="str">
        <f>'🔵クレーム'!J145</f>
        <v/>
      </c>
      <c r="AA154" s="1293" t="str">
        <f>'🔵クレーム'!K145</f>
        <v/>
      </c>
      <c r="AB154" s="1293" t="str">
        <f>'🔵クレーム'!L145</f>
        <v/>
      </c>
      <c r="AC154" s="1295" t="str">
        <f>'🔵クレーム'!N145</f>
        <v/>
      </c>
      <c r="AH154" s="274"/>
    </row>
    <row r="155">
      <c r="B155" s="1270" t="str">
        <f>IFERROR(__xludf.DUMMYFUNCTION("""COMPUTED_VALUE"""),"9月")</f>
        <v>9月</v>
      </c>
      <c r="C155" s="1270" t="str">
        <f>IFERROR(__xludf.DUMMYFUNCTION("""COMPUTED_VALUE"""),"25日")</f>
        <v>25日</v>
      </c>
      <c r="D155" s="1270" t="str">
        <f>IFERROR(__xludf.DUMMYFUNCTION("""COMPUTED_VALUE"""),"残置")</f>
        <v>残置</v>
      </c>
      <c r="E155" s="1338"/>
      <c r="F155" s="1338" t="str">
        <f>IFERROR(__xludf.DUMMYFUNCTION("""COMPUTED_VALUE"""),"ナバーロ")</f>
        <v>ナバーロ</v>
      </c>
      <c r="G155" s="1339" t="str">
        <f>IFERROR(__xludf.DUMMYFUNCTION("""COMPUTED_VALUE"""),"ベットと壁の隙間に眼鏡ケースがあった")</f>
        <v>ベットと壁の隙間に眼鏡ケースがあった</v>
      </c>
      <c r="H155" s="220"/>
      <c r="I155" s="220"/>
      <c r="J155" s="5"/>
      <c r="K155" s="1282"/>
      <c r="L155" s="1282"/>
      <c r="O155" s="1293"/>
      <c r="P155" s="1293"/>
      <c r="Q155" s="1293"/>
      <c r="R155" s="1293"/>
      <c r="S155" s="1293"/>
      <c r="T155" s="1293"/>
      <c r="U155" s="1295"/>
      <c r="W155" s="1293" t="str">
        <f>'🔵クレーム'!C146</f>
        <v/>
      </c>
      <c r="X155" s="1293" t="str">
        <f>'🔵クレーム'!D146</f>
        <v/>
      </c>
      <c r="Y155" s="1292" t="str">
        <f>'🔵クレーム'!I146</f>
        <v/>
      </c>
      <c r="Z155" s="1293" t="str">
        <f>'🔵クレーム'!J146</f>
        <v/>
      </c>
      <c r="AA155" s="1293" t="str">
        <f>'🔵クレーム'!K146</f>
        <v/>
      </c>
      <c r="AB155" s="1293" t="str">
        <f>'🔵クレーム'!L146</f>
        <v/>
      </c>
      <c r="AC155" s="1295" t="str">
        <f>'🔵クレーム'!N146</f>
        <v/>
      </c>
      <c r="AH155" s="274"/>
    </row>
    <row r="156">
      <c r="B156" s="1270" t="str">
        <f>IFERROR(__xludf.DUMMYFUNCTION("""COMPUTED_VALUE"""),"9月")</f>
        <v>9月</v>
      </c>
      <c r="C156" s="1270" t="str">
        <f>IFERROR(__xludf.DUMMYFUNCTION("""COMPUTED_VALUE"""),"26日")</f>
        <v>26日</v>
      </c>
      <c r="D156" s="1270" t="str">
        <f>IFERROR(__xludf.DUMMYFUNCTION("""COMPUTED_VALUE"""),"髪の毛")</f>
        <v>髪の毛</v>
      </c>
      <c r="E156" s="1338" t="str">
        <f>IFERROR(__xludf.DUMMYFUNCTION("""COMPUTED_VALUE"""),"イラノ")</f>
        <v>イラノ</v>
      </c>
      <c r="F156" s="1338" t="str">
        <f>IFERROR(__xludf.DUMMYFUNCTION("""COMPUTED_VALUE"""),"ジャスミン")</f>
        <v>ジャスミン</v>
      </c>
      <c r="G156" s="1339" t="str">
        <f>IFERROR(__xludf.DUMMYFUNCTION("""COMPUTED_VALUE"""),"UBバスタブ内に髪の毛落ちてた")</f>
        <v>UBバスタブ内に髪の毛落ちてた</v>
      </c>
      <c r="H156" s="220"/>
      <c r="I156" s="220"/>
      <c r="J156" s="5"/>
      <c r="K156" s="1282"/>
      <c r="L156" s="1282"/>
      <c r="O156" s="1293"/>
      <c r="P156" s="1293"/>
      <c r="Q156" s="1293"/>
      <c r="R156" s="1293"/>
      <c r="S156" s="1293"/>
      <c r="T156" s="1293"/>
      <c r="U156" s="1295"/>
      <c r="W156" s="1293" t="str">
        <f>'🔵クレーム'!C147</f>
        <v/>
      </c>
      <c r="X156" s="1293" t="str">
        <f>'🔵クレーム'!D147</f>
        <v/>
      </c>
      <c r="Y156" s="1292" t="str">
        <f>'🔵クレーム'!I147</f>
        <v/>
      </c>
      <c r="Z156" s="1293" t="str">
        <f>'🔵クレーム'!J147</f>
        <v/>
      </c>
      <c r="AA156" s="1293" t="str">
        <f>'🔵クレーム'!K147</f>
        <v/>
      </c>
      <c r="AB156" s="1293" t="str">
        <f>'🔵クレーム'!L147</f>
        <v/>
      </c>
      <c r="AC156" s="1295" t="str">
        <f>'🔵クレーム'!N147</f>
        <v/>
      </c>
      <c r="AH156" s="274"/>
    </row>
    <row r="157">
      <c r="B157" s="1270" t="str">
        <f>IFERROR(__xludf.DUMMYFUNCTION("""COMPUTED_VALUE"""),"9月")</f>
        <v>9月</v>
      </c>
      <c r="C157" s="1270" t="str">
        <f>IFERROR(__xludf.DUMMYFUNCTION("""COMPUTED_VALUE"""),"30日")</f>
        <v>30日</v>
      </c>
      <c r="D157" s="1270" t="str">
        <f>IFERROR(__xludf.DUMMYFUNCTION("""COMPUTED_VALUE"""),"髪の毛")</f>
        <v>髪の毛</v>
      </c>
      <c r="E157" s="1338" t="str">
        <f>IFERROR(__xludf.DUMMYFUNCTION("""COMPUTED_VALUE"""),"ジャムナ")</f>
        <v>ジャムナ</v>
      </c>
      <c r="F157" s="1338" t="str">
        <f>IFERROR(__xludf.DUMMYFUNCTION("""COMPUTED_VALUE"""),"サンジュ")</f>
        <v>サンジュ</v>
      </c>
      <c r="G157" s="1339" t="str">
        <f>IFERROR(__xludf.DUMMYFUNCTION("""COMPUTED_VALUE"""),"ケトル内に髪の毛")</f>
        <v>ケトル内に髪の毛</v>
      </c>
      <c r="H157" s="220"/>
      <c r="I157" s="220"/>
      <c r="J157" s="5"/>
      <c r="K157" s="1282"/>
      <c r="L157" s="1282"/>
      <c r="O157" s="1293"/>
      <c r="P157" s="1293"/>
      <c r="Q157" s="1293"/>
      <c r="R157" s="1293"/>
      <c r="S157" s="1293"/>
      <c r="T157" s="1293"/>
      <c r="U157" s="1295"/>
      <c r="W157" s="1293" t="str">
        <f>'🔵クレーム'!C148</f>
        <v/>
      </c>
      <c r="X157" s="1293" t="str">
        <f>'🔵クレーム'!D148</f>
        <v/>
      </c>
      <c r="Y157" s="1292" t="str">
        <f>'🔵クレーム'!I148</f>
        <v/>
      </c>
      <c r="Z157" s="1293" t="str">
        <f>'🔵クレーム'!J148</f>
        <v/>
      </c>
      <c r="AA157" s="1293" t="str">
        <f>'🔵クレーム'!K148</f>
        <v/>
      </c>
      <c r="AB157" s="1293" t="str">
        <f>'🔵クレーム'!L148</f>
        <v/>
      </c>
      <c r="AC157" s="1295" t="str">
        <f>'🔵クレーム'!N148</f>
        <v/>
      </c>
      <c r="AH157" s="274"/>
    </row>
    <row r="158">
      <c r="B158" s="1270" t="str">
        <f>IFERROR(__xludf.DUMMYFUNCTION("""COMPUTED_VALUE"""),"10月")</f>
        <v>10月</v>
      </c>
      <c r="C158" s="1270" t="str">
        <f>IFERROR(__xludf.DUMMYFUNCTION("""COMPUTED_VALUE"""),"2日")</f>
        <v>2日</v>
      </c>
      <c r="D158" s="1270" t="str">
        <f>IFERROR(__xludf.DUMMYFUNCTION("""COMPUTED_VALUE"""),"手配ミス")</f>
        <v>手配ミス</v>
      </c>
      <c r="E158" s="1338" t="str">
        <f>IFERROR(__xludf.DUMMYFUNCTION("""COMPUTED_VALUE"""),"ジェ")</f>
        <v>ジェ</v>
      </c>
      <c r="F158" s="1338" t="str">
        <f>IFERROR(__xludf.DUMMYFUNCTION("""COMPUTED_VALUE"""),"サムジャナ")</f>
        <v>サムジャナ</v>
      </c>
      <c r="G158" s="1339" t="str">
        <f>IFERROR(__xludf.DUMMYFUNCTION("""COMPUTED_VALUE"""),"バスマット２枚の依頼だったが入ってなかった")</f>
        <v>バスマット２枚の依頼だったが入ってなかった</v>
      </c>
      <c r="H158" s="220"/>
      <c r="I158" s="220"/>
      <c r="J158" s="5"/>
      <c r="K158" s="1282"/>
      <c r="L158" s="1282"/>
      <c r="O158" s="1293"/>
      <c r="P158" s="1293"/>
      <c r="Q158" s="1293"/>
      <c r="R158" s="1293"/>
      <c r="S158" s="1293"/>
      <c r="T158" s="1293"/>
      <c r="U158" s="1295"/>
      <c r="W158" s="1293" t="str">
        <f>'🔵クレーム'!C149</f>
        <v/>
      </c>
      <c r="X158" s="1293" t="str">
        <f>'🔵クレーム'!D149</f>
        <v/>
      </c>
      <c r="Y158" s="1292" t="str">
        <f>'🔵クレーム'!I149</f>
        <v/>
      </c>
      <c r="Z158" s="1293" t="str">
        <f>'🔵クレーム'!J149</f>
        <v/>
      </c>
      <c r="AA158" s="1293" t="str">
        <f>'🔵クレーム'!K149</f>
        <v/>
      </c>
      <c r="AB158" s="1293" t="str">
        <f>'🔵クレーム'!L149</f>
        <v/>
      </c>
      <c r="AC158" s="1295" t="str">
        <f>'🔵クレーム'!N149</f>
        <v/>
      </c>
      <c r="AH158" s="274"/>
    </row>
    <row r="159">
      <c r="B159" s="1270" t="str">
        <f>IFERROR(__xludf.DUMMYFUNCTION("""COMPUTED_VALUE"""),"10月")</f>
        <v>10月</v>
      </c>
      <c r="C159" s="1270" t="str">
        <f>IFERROR(__xludf.DUMMYFUNCTION("""COMPUTED_VALUE"""),"7日")</f>
        <v>7日</v>
      </c>
      <c r="D159" s="1270" t="str">
        <f>IFERROR(__xludf.DUMMYFUNCTION("""COMPUTED_VALUE"""),"口コミ")</f>
        <v>口コミ</v>
      </c>
      <c r="E159" s="1338"/>
      <c r="F159" s="1338"/>
      <c r="G159" s="1339" t="str">
        <f>IFERROR(__xludf.DUMMYFUNCTION("""COMPUTED_VALUE"""),"シャワーのゴムパッキンがとれて水漏れ")</f>
        <v>シャワーのゴムパッキンがとれて水漏れ</v>
      </c>
      <c r="H159" s="220"/>
      <c r="I159" s="220"/>
      <c r="J159" s="5"/>
      <c r="K159" s="1282"/>
      <c r="L159" s="1282"/>
      <c r="O159" s="1293"/>
      <c r="P159" s="1293"/>
      <c r="Q159" s="1293"/>
      <c r="R159" s="1293"/>
      <c r="S159" s="1293"/>
      <c r="T159" s="1293"/>
      <c r="U159" s="1295"/>
      <c r="W159" s="1293" t="str">
        <f>'🔵クレーム'!C150</f>
        <v/>
      </c>
      <c r="X159" s="1293" t="str">
        <f>'🔵クレーム'!D150</f>
        <v/>
      </c>
      <c r="Y159" s="1292" t="str">
        <f>'🔵クレーム'!I150</f>
        <v/>
      </c>
      <c r="Z159" s="1293" t="str">
        <f>'🔵クレーム'!J150</f>
        <v/>
      </c>
      <c r="AA159" s="1293" t="str">
        <f>'🔵クレーム'!K150</f>
        <v/>
      </c>
      <c r="AB159" s="1293" t="str">
        <f>'🔵クレーム'!L150</f>
        <v/>
      </c>
      <c r="AC159" s="1295" t="str">
        <f>'🔵クレーム'!N150</f>
        <v/>
      </c>
      <c r="AH159" s="274"/>
    </row>
    <row r="160">
      <c r="B160" s="1270" t="str">
        <f>IFERROR(__xludf.DUMMYFUNCTION("""COMPUTED_VALUE"""),"10月")</f>
        <v>10月</v>
      </c>
      <c r="C160" s="1270" t="str">
        <f>IFERROR(__xludf.DUMMYFUNCTION("""COMPUTED_VALUE"""),"7日")</f>
        <v>7日</v>
      </c>
      <c r="D160" s="1270" t="str">
        <f>IFERROR(__xludf.DUMMYFUNCTION("""COMPUTED_VALUE"""),"口コミ")</f>
        <v>口コミ</v>
      </c>
      <c r="E160" s="1338"/>
      <c r="F160" s="1338"/>
      <c r="G160" s="1339" t="str">
        <f>IFERROR(__xludf.DUMMYFUNCTION("""COMPUTED_VALUE"""),"シャワールームカビ臭い")</f>
        <v>シャワールームカビ臭い</v>
      </c>
      <c r="H160" s="220"/>
      <c r="I160" s="220"/>
      <c r="J160" s="5"/>
      <c r="K160" s="1282"/>
      <c r="L160" s="1282"/>
      <c r="O160" s="1293"/>
      <c r="P160" s="1293"/>
      <c r="Q160" s="1293"/>
      <c r="R160" s="1293"/>
      <c r="S160" s="1293"/>
      <c r="T160" s="1293"/>
      <c r="U160" s="1295"/>
      <c r="W160" s="1293" t="str">
        <f>'🔵クレーム'!C151</f>
        <v/>
      </c>
      <c r="X160" s="1293" t="str">
        <f>'🔵クレーム'!D151</f>
        <v/>
      </c>
      <c r="Y160" s="1292" t="str">
        <f>'🔵クレーム'!I151</f>
        <v/>
      </c>
      <c r="Z160" s="1293" t="str">
        <f>'🔵クレーム'!J151</f>
        <v/>
      </c>
      <c r="AA160" s="1293" t="str">
        <f>'🔵クレーム'!K151</f>
        <v/>
      </c>
      <c r="AB160" s="1293" t="str">
        <f>'🔵クレーム'!L151</f>
        <v/>
      </c>
      <c r="AC160" s="1295" t="str">
        <f>'🔵クレーム'!N151</f>
        <v/>
      </c>
      <c r="AH160" s="274"/>
    </row>
    <row r="161">
      <c r="B161" s="1270" t="str">
        <f>IFERROR(__xludf.DUMMYFUNCTION("""COMPUTED_VALUE"""),"10月")</f>
        <v>10月</v>
      </c>
      <c r="C161" s="1270" t="str">
        <f>IFERROR(__xludf.DUMMYFUNCTION("""COMPUTED_VALUE"""),"14日")</f>
        <v>14日</v>
      </c>
      <c r="D161" s="1270" t="str">
        <f>IFERROR(__xludf.DUMMYFUNCTION("""COMPUTED_VALUE"""),"残置")</f>
        <v>残置</v>
      </c>
      <c r="E161" s="1338" t="str">
        <f>IFERROR(__xludf.DUMMYFUNCTION("""COMPUTED_VALUE"""),"ジャムナ")</f>
        <v>ジャムナ</v>
      </c>
      <c r="F161" s="1338" t="str">
        <f>IFERROR(__xludf.DUMMYFUNCTION("""COMPUTED_VALUE"""),"ナバーロ")</f>
        <v>ナバーロ</v>
      </c>
      <c r="G161" s="1339" t="str">
        <f>IFERROR(__xludf.DUMMYFUNCTION("""COMPUTED_VALUE"""),"予備のトイレットペーパーの下にゴミが落ちていた。")</f>
        <v>予備のトイレットペーパーの下にゴミが落ちていた。</v>
      </c>
      <c r="H161" s="220"/>
      <c r="I161" s="220"/>
      <c r="J161" s="5"/>
      <c r="K161" s="1282"/>
      <c r="L161" s="1282"/>
      <c r="O161" s="1293"/>
      <c r="P161" s="1293"/>
      <c r="Q161" s="1293"/>
      <c r="R161" s="1293"/>
      <c r="S161" s="1293"/>
      <c r="T161" s="1293"/>
      <c r="U161" s="1295"/>
      <c r="W161" s="1293" t="str">
        <f>'🔵クレーム'!C152</f>
        <v/>
      </c>
      <c r="X161" s="1293" t="str">
        <f>'🔵クレーム'!D152</f>
        <v/>
      </c>
      <c r="Y161" s="1292" t="str">
        <f>'🔵クレーム'!I152</f>
        <v/>
      </c>
      <c r="Z161" s="1293" t="str">
        <f>'🔵クレーム'!J152</f>
        <v/>
      </c>
      <c r="AA161" s="1293" t="str">
        <f>'🔵クレーム'!K152</f>
        <v/>
      </c>
      <c r="AB161" s="1293" t="str">
        <f>'🔵クレーム'!L152</f>
        <v/>
      </c>
      <c r="AC161" s="1295" t="str">
        <f>'🔵クレーム'!N152</f>
        <v/>
      </c>
      <c r="AH161" s="274"/>
    </row>
    <row r="162">
      <c r="B162" s="1270" t="str">
        <f>IFERROR(__xludf.DUMMYFUNCTION("""COMPUTED_VALUE"""),"10月")</f>
        <v>10月</v>
      </c>
      <c r="C162" s="1270" t="str">
        <f>IFERROR(__xludf.DUMMYFUNCTION("""COMPUTED_VALUE"""),"14日")</f>
        <v>14日</v>
      </c>
      <c r="D162" s="1270" t="str">
        <f>IFERROR(__xludf.DUMMYFUNCTION("""COMPUTED_VALUE"""),"手配ミス")</f>
        <v>手配ミス</v>
      </c>
      <c r="E162" s="1338" t="str">
        <f>IFERROR(__xludf.DUMMYFUNCTION("""COMPUTED_VALUE"""),"ジャムナ")</f>
        <v>ジャムナ</v>
      </c>
      <c r="F162" s="1338" t="str">
        <f>IFERROR(__xludf.DUMMYFUNCTION("""COMPUTED_VALUE"""),"ナバーロ")</f>
        <v>ナバーロ</v>
      </c>
      <c r="G162" s="1339" t="str">
        <f>IFERROR(__xludf.DUMMYFUNCTION("""COMPUTED_VALUE"""),"歯ブラシの袋が開いていて濡れてた。")</f>
        <v>歯ブラシの袋が開いていて濡れてた。</v>
      </c>
      <c r="H162" s="220"/>
      <c r="I162" s="220"/>
      <c r="J162" s="5"/>
      <c r="K162" s="1282"/>
      <c r="L162" s="1282"/>
      <c r="O162" s="1293"/>
      <c r="P162" s="1293"/>
      <c r="Q162" s="1293"/>
      <c r="R162" s="1293"/>
      <c r="S162" s="1293"/>
      <c r="T162" s="1293"/>
      <c r="U162" s="1295"/>
      <c r="W162" s="1293" t="str">
        <f>'🔵クレーム'!C153</f>
        <v/>
      </c>
      <c r="X162" s="1293" t="str">
        <f>'🔵クレーム'!D153</f>
        <v/>
      </c>
      <c r="Y162" s="1292" t="str">
        <f>'🔵クレーム'!I153</f>
        <v/>
      </c>
      <c r="Z162" s="1293" t="str">
        <f>'🔵クレーム'!J153</f>
        <v/>
      </c>
      <c r="AA162" s="1293" t="str">
        <f>'🔵クレーム'!K153</f>
        <v/>
      </c>
      <c r="AB162" s="1293" t="str">
        <f>'🔵クレーム'!L153</f>
        <v/>
      </c>
      <c r="AC162" s="1295" t="str">
        <f>'🔵クレーム'!N153</f>
        <v/>
      </c>
      <c r="AH162" s="274"/>
    </row>
    <row r="163">
      <c r="B163" s="1270" t="str">
        <f>IFERROR(__xludf.DUMMYFUNCTION("""COMPUTED_VALUE"""),"10月")</f>
        <v>10月</v>
      </c>
      <c r="C163" s="1270" t="str">
        <f>IFERROR(__xludf.DUMMYFUNCTION("""COMPUTED_VALUE"""),"14日")</f>
        <v>14日</v>
      </c>
      <c r="D163" s="1270" t="str">
        <f>IFERROR(__xludf.DUMMYFUNCTION("""COMPUTED_VALUE"""),"口コミ")</f>
        <v>口コミ</v>
      </c>
      <c r="E163" s="1338"/>
      <c r="F163" s="1338"/>
      <c r="G163" s="1339" t="str">
        <f>IFERROR(__xludf.DUMMYFUNCTION("""COMPUTED_VALUE"""),"ガウンが臭かった。")</f>
        <v>ガウンが臭かった。</v>
      </c>
      <c r="H163" s="220"/>
      <c r="I163" s="220"/>
      <c r="J163" s="5"/>
      <c r="K163" s="1282"/>
      <c r="L163" s="1282"/>
      <c r="O163" s="1293"/>
      <c r="P163" s="1293"/>
      <c r="Q163" s="1293"/>
      <c r="R163" s="1293"/>
      <c r="S163" s="1293"/>
      <c r="T163" s="1293"/>
      <c r="U163" s="1295"/>
      <c r="W163" s="1293" t="str">
        <f>'🔵クレーム'!C154</f>
        <v/>
      </c>
      <c r="X163" s="1293" t="str">
        <f>'🔵クレーム'!D154</f>
        <v/>
      </c>
      <c r="Y163" s="1292" t="str">
        <f>'🔵クレーム'!I154</f>
        <v/>
      </c>
      <c r="Z163" s="1293" t="str">
        <f>'🔵クレーム'!J154</f>
        <v/>
      </c>
      <c r="AA163" s="1293" t="str">
        <f>'🔵クレーム'!K154</f>
        <v/>
      </c>
      <c r="AB163" s="1293" t="str">
        <f>'🔵クレーム'!L154</f>
        <v/>
      </c>
      <c r="AC163" s="1295" t="str">
        <f>'🔵クレーム'!N154</f>
        <v/>
      </c>
      <c r="AH163" s="274"/>
    </row>
    <row r="164">
      <c r="B164" s="1270" t="str">
        <f>IFERROR(__xludf.DUMMYFUNCTION("""COMPUTED_VALUE"""),"10月")</f>
        <v>10月</v>
      </c>
      <c r="C164" s="1270" t="str">
        <f>IFERROR(__xludf.DUMMYFUNCTION("""COMPUTED_VALUE"""),"16日")</f>
        <v>16日</v>
      </c>
      <c r="D164" s="1270" t="str">
        <f>IFERROR(__xludf.DUMMYFUNCTION("""COMPUTED_VALUE"""),"口コミ")</f>
        <v>口コミ</v>
      </c>
      <c r="E164" s="1338"/>
      <c r="F164" s="1338"/>
      <c r="G164" s="1339" t="str">
        <f>IFERROR(__xludf.DUMMYFUNCTION("""COMPUTED_VALUE"""),"枕脇に髪の毛")</f>
        <v>枕脇に髪の毛</v>
      </c>
      <c r="H164" s="220"/>
      <c r="I164" s="220"/>
      <c r="J164" s="5"/>
      <c r="K164" s="1282"/>
      <c r="L164" s="1282"/>
      <c r="O164" s="1293"/>
      <c r="P164" s="1293"/>
      <c r="Q164" s="1293"/>
      <c r="R164" s="1293"/>
      <c r="S164" s="1293"/>
      <c r="T164" s="1293"/>
      <c r="U164" s="1295"/>
      <c r="W164" s="1293" t="str">
        <f>'🔵クレーム'!C155</f>
        <v/>
      </c>
      <c r="X164" s="1293" t="str">
        <f>'🔵クレーム'!D155</f>
        <v/>
      </c>
      <c r="Y164" s="1292" t="str">
        <f>'🔵クレーム'!I155</f>
        <v/>
      </c>
      <c r="Z164" s="1293" t="str">
        <f>'🔵クレーム'!J155</f>
        <v/>
      </c>
      <c r="AA164" s="1293" t="str">
        <f>'🔵クレーム'!K155</f>
        <v/>
      </c>
      <c r="AB164" s="1293" t="str">
        <f>'🔵クレーム'!L155</f>
        <v/>
      </c>
      <c r="AC164" s="1295" t="str">
        <f>'🔵クレーム'!N155</f>
        <v/>
      </c>
      <c r="AH164" s="274"/>
    </row>
    <row r="165">
      <c r="B165" s="1270" t="str">
        <f>IFERROR(__xludf.DUMMYFUNCTION("""COMPUTED_VALUE"""),"10月")</f>
        <v>10月</v>
      </c>
      <c r="C165" s="1270" t="str">
        <f>IFERROR(__xludf.DUMMYFUNCTION("""COMPUTED_VALUE"""),"23日")</f>
        <v>23日</v>
      </c>
      <c r="D165" s="1270" t="str">
        <f>IFERROR(__xludf.DUMMYFUNCTION("""COMPUTED_VALUE"""),"残置")</f>
        <v>残置</v>
      </c>
      <c r="E165" s="1338" t="str">
        <f>IFERROR(__xludf.DUMMYFUNCTION("""COMPUTED_VALUE"""),"ジャムナ")</f>
        <v>ジャムナ</v>
      </c>
      <c r="F165" s="1338" t="str">
        <f>IFERROR(__xludf.DUMMYFUNCTION("""COMPUTED_VALUE"""),"サンジュ")</f>
        <v>サンジュ</v>
      </c>
      <c r="G165" s="1339" t="str">
        <f>IFERROR(__xludf.DUMMYFUNCTION("""COMPUTED_VALUE"""),"ベッド足元付近に電子タバコが落ちてた。")</f>
        <v>ベッド足元付近に電子タバコが落ちてた。</v>
      </c>
      <c r="H165" s="220"/>
      <c r="I165" s="220"/>
      <c r="J165" s="5"/>
      <c r="K165" s="1282"/>
      <c r="L165" s="1282"/>
      <c r="O165" s="1293"/>
      <c r="P165" s="1293"/>
      <c r="Q165" s="1293"/>
      <c r="R165" s="1293"/>
      <c r="S165" s="1293"/>
      <c r="T165" s="1293"/>
      <c r="U165" s="1295"/>
      <c r="W165" s="1293" t="str">
        <f>'🔵クレーム'!C156</f>
        <v/>
      </c>
      <c r="X165" s="1293" t="str">
        <f>'🔵クレーム'!D156</f>
        <v/>
      </c>
      <c r="Y165" s="1292" t="str">
        <f>'🔵クレーム'!I156</f>
        <v/>
      </c>
      <c r="Z165" s="1293" t="str">
        <f>'🔵クレーム'!J156</f>
        <v/>
      </c>
      <c r="AA165" s="1293" t="str">
        <f>'🔵クレーム'!K156</f>
        <v/>
      </c>
      <c r="AB165" s="1293" t="str">
        <f>'🔵クレーム'!L156</f>
        <v/>
      </c>
      <c r="AC165" s="1295" t="str">
        <f>'🔵クレーム'!N156</f>
        <v/>
      </c>
      <c r="AH165" s="274"/>
    </row>
    <row r="166">
      <c r="B166" s="1270" t="str">
        <f>IFERROR(__xludf.DUMMYFUNCTION("""COMPUTED_VALUE"""),"10月")</f>
        <v>10月</v>
      </c>
      <c r="C166" s="1270" t="str">
        <f>IFERROR(__xludf.DUMMYFUNCTION("""COMPUTED_VALUE"""),"28日")</f>
        <v>28日</v>
      </c>
      <c r="D166" s="1270" t="str">
        <f>IFERROR(__xludf.DUMMYFUNCTION("""COMPUTED_VALUE"""),"口コミ")</f>
        <v>口コミ</v>
      </c>
      <c r="E166" s="1338"/>
      <c r="F166" s="1338"/>
      <c r="G166" s="1339" t="str">
        <f>IFERROR(__xludf.DUMMYFUNCTION("""COMPUTED_VALUE"""),"今回は枕が臭かった。")</f>
        <v>今回は枕が臭かった。</v>
      </c>
      <c r="H166" s="220"/>
      <c r="I166" s="220"/>
      <c r="J166" s="5"/>
      <c r="K166" s="1282"/>
      <c r="L166" s="1282"/>
      <c r="O166" s="1293"/>
      <c r="P166" s="1293"/>
      <c r="Q166" s="1293"/>
      <c r="R166" s="1293"/>
      <c r="S166" s="1293"/>
      <c r="T166" s="1293"/>
      <c r="U166" s="1295"/>
      <c r="W166" s="1293" t="str">
        <f>'🔵クレーム'!C157</f>
        <v/>
      </c>
      <c r="X166" s="1293" t="str">
        <f>'🔵クレーム'!D157</f>
        <v/>
      </c>
      <c r="Y166" s="1292" t="str">
        <f>'🔵クレーム'!I157</f>
        <v/>
      </c>
      <c r="Z166" s="1293" t="str">
        <f>'🔵クレーム'!J157</f>
        <v/>
      </c>
      <c r="AA166" s="1293" t="str">
        <f>'🔵クレーム'!K157</f>
        <v/>
      </c>
      <c r="AB166" s="1293" t="str">
        <f>'🔵クレーム'!L157</f>
        <v/>
      </c>
      <c r="AC166" s="1295" t="str">
        <f>'🔵クレーム'!N157</f>
        <v/>
      </c>
      <c r="AH166" s="274"/>
    </row>
    <row r="167">
      <c r="B167" s="1270" t="str">
        <f>IFERROR(__xludf.DUMMYFUNCTION("""COMPUTED_VALUE"""),"10月")</f>
        <v>10月</v>
      </c>
      <c r="C167" s="1270" t="str">
        <f>IFERROR(__xludf.DUMMYFUNCTION("""COMPUTED_VALUE"""),"29日")</f>
        <v>29日</v>
      </c>
      <c r="D167" s="1270" t="str">
        <f>IFERROR(__xludf.DUMMYFUNCTION("""COMPUTED_VALUE"""),"口コミ")</f>
        <v>口コミ</v>
      </c>
      <c r="E167" s="1338"/>
      <c r="F167" s="1338"/>
      <c r="G167" s="1339" t="str">
        <f>IFERROR(__xludf.DUMMYFUNCTION("""COMPUTED_VALUE"""),"禁煙部屋にタバコのニオイあり")</f>
        <v>禁煙部屋にタバコのニオイあり</v>
      </c>
      <c r="H167" s="220"/>
      <c r="I167" s="220"/>
      <c r="J167" s="5"/>
      <c r="K167" s="1282"/>
      <c r="L167" s="1282"/>
      <c r="O167" s="1293"/>
      <c r="P167" s="1293"/>
      <c r="Q167" s="1293"/>
      <c r="R167" s="1293"/>
      <c r="S167" s="1293"/>
      <c r="T167" s="1293"/>
      <c r="U167" s="1295"/>
      <c r="W167" s="1293" t="str">
        <f>'🔵クレーム'!C158</f>
        <v/>
      </c>
      <c r="X167" s="1293" t="str">
        <f>'🔵クレーム'!D158</f>
        <v/>
      </c>
      <c r="Y167" s="1292" t="str">
        <f>'🔵クレーム'!I158</f>
        <v/>
      </c>
      <c r="Z167" s="1293" t="str">
        <f>'🔵クレーム'!J158</f>
        <v/>
      </c>
      <c r="AA167" s="1293" t="str">
        <f>'🔵クレーム'!K158</f>
        <v/>
      </c>
      <c r="AB167" s="1293" t="str">
        <f>'🔵クレーム'!L158</f>
        <v/>
      </c>
      <c r="AC167" s="1295" t="str">
        <f>'🔵クレーム'!N158</f>
        <v/>
      </c>
      <c r="AH167" s="274"/>
    </row>
    <row r="168">
      <c r="B168" s="1270" t="str">
        <f>IFERROR(__xludf.DUMMYFUNCTION("""COMPUTED_VALUE"""),"11月")</f>
        <v>11月</v>
      </c>
      <c r="C168" s="1270" t="str">
        <f>IFERROR(__xludf.DUMMYFUNCTION("""COMPUTED_VALUE"""),"1日")</f>
        <v>1日</v>
      </c>
      <c r="D168" s="1270" t="str">
        <f>IFERROR(__xludf.DUMMYFUNCTION("""COMPUTED_VALUE"""),"セット漏れ")</f>
        <v>セット漏れ</v>
      </c>
      <c r="E168" s="1338" t="str">
        <f>IFERROR(__xludf.DUMMYFUNCTION("""COMPUTED_VALUE"""),"アルマ")</f>
        <v>アルマ</v>
      </c>
      <c r="F168" s="1338" t="str">
        <f>IFERROR(__xludf.DUMMYFUNCTION("""COMPUTED_VALUE"""),"モハン")</f>
        <v>モハン</v>
      </c>
      <c r="G168" s="1339" t="str">
        <f>IFERROR(__xludf.DUMMYFUNCTION("""COMPUTED_VALUE"""),"歯ブラシ１本ない")</f>
        <v>歯ブラシ１本ない</v>
      </c>
      <c r="H168" s="220"/>
      <c r="I168" s="220"/>
      <c r="J168" s="5"/>
      <c r="K168" s="1282"/>
      <c r="L168" s="1282"/>
      <c r="O168" s="1293"/>
      <c r="P168" s="1293"/>
      <c r="Q168" s="1293"/>
      <c r="R168" s="1293"/>
      <c r="S168" s="1293"/>
      <c r="T168" s="1293"/>
      <c r="U168" s="1295"/>
      <c r="W168" s="1293" t="str">
        <f>'🔵クレーム'!C159</f>
        <v/>
      </c>
      <c r="X168" s="1293" t="str">
        <f>'🔵クレーム'!D159</f>
        <v/>
      </c>
      <c r="Y168" s="1292" t="str">
        <f>'🔵クレーム'!I159</f>
        <v/>
      </c>
      <c r="Z168" s="1293" t="str">
        <f>'🔵クレーム'!J159</f>
        <v/>
      </c>
      <c r="AA168" s="1293" t="str">
        <f>'🔵クレーム'!K159</f>
        <v/>
      </c>
      <c r="AB168" s="1293" t="str">
        <f>'🔵クレーム'!L159</f>
        <v/>
      </c>
      <c r="AC168" s="1295" t="str">
        <f>'🔵クレーム'!N159</f>
        <v/>
      </c>
      <c r="AH168" s="274"/>
    </row>
    <row r="169">
      <c r="B169" s="1270" t="str">
        <f>IFERROR(__xludf.DUMMYFUNCTION("""COMPUTED_VALUE"""),"11月")</f>
        <v>11月</v>
      </c>
      <c r="C169" s="1270" t="str">
        <f>IFERROR(__xludf.DUMMYFUNCTION("""COMPUTED_VALUE"""),"2日")</f>
        <v>2日</v>
      </c>
      <c r="D169" s="1270" t="str">
        <f>IFERROR(__xludf.DUMMYFUNCTION("""COMPUTED_VALUE"""),"残置")</f>
        <v>残置</v>
      </c>
      <c r="E169" s="1338" t="str">
        <f>IFERROR(__xludf.DUMMYFUNCTION("""COMPUTED_VALUE"""),"ジャムナ")</f>
        <v>ジャムナ</v>
      </c>
      <c r="F169" s="1338" t="str">
        <f>IFERROR(__xludf.DUMMYFUNCTION("""COMPUTED_VALUE"""),"ラリー")</f>
        <v>ラリー</v>
      </c>
      <c r="G169" s="1339" t="str">
        <f>IFERROR(__xludf.DUMMYFUNCTION("""COMPUTED_VALUE"""),"ベット下からおむつ")</f>
        <v>ベット下からおむつ</v>
      </c>
      <c r="H169" s="220"/>
      <c r="I169" s="220"/>
      <c r="J169" s="5"/>
      <c r="K169" s="1282"/>
      <c r="L169" s="1282"/>
      <c r="O169" s="1293"/>
      <c r="P169" s="1293"/>
      <c r="Q169" s="1293"/>
      <c r="R169" s="1293"/>
      <c r="S169" s="1293"/>
      <c r="T169" s="1293"/>
      <c r="U169" s="1293"/>
      <c r="W169" s="1293" t="str">
        <f>'🔵クレーム'!C160</f>
        <v/>
      </c>
      <c r="X169" s="1293" t="str">
        <f>'🔵クレーム'!D160</f>
        <v/>
      </c>
      <c r="Y169" s="1292" t="str">
        <f>'🔵クレーム'!I160</f>
        <v/>
      </c>
      <c r="Z169" s="1293" t="str">
        <f>'🔵クレーム'!J160</f>
        <v/>
      </c>
      <c r="AA169" s="1293" t="str">
        <f>'🔵クレーム'!K160</f>
        <v/>
      </c>
      <c r="AB169" s="1293" t="str">
        <f>'🔵クレーム'!L160</f>
        <v/>
      </c>
      <c r="AC169" s="1295" t="str">
        <f>'🔵クレーム'!N160</f>
        <v/>
      </c>
      <c r="AH169" s="274"/>
    </row>
    <row r="170">
      <c r="B170" s="1270" t="str">
        <f>IFERROR(__xludf.DUMMYFUNCTION("""COMPUTED_VALUE"""),"11月")</f>
        <v>11月</v>
      </c>
      <c r="C170" s="1270" t="str">
        <f>IFERROR(__xludf.DUMMYFUNCTION("""COMPUTED_VALUE"""),"3日")</f>
        <v>3日</v>
      </c>
      <c r="D170" s="1270" t="str">
        <f>IFERROR(__xludf.DUMMYFUNCTION("""COMPUTED_VALUE"""),"残置")</f>
        <v>残置</v>
      </c>
      <c r="E170" s="1338" t="str">
        <f>IFERROR(__xludf.DUMMYFUNCTION("""COMPUTED_VALUE"""),"イラノ")</f>
        <v>イラノ</v>
      </c>
      <c r="F170" s="1338" t="str">
        <f>IFERROR(__xludf.DUMMYFUNCTION("""COMPUTED_VALUE"""),"サンジタ")</f>
        <v>サンジタ</v>
      </c>
      <c r="G170" s="1339" t="str">
        <f>IFERROR(__xludf.DUMMYFUNCTION("""COMPUTED_VALUE"""),"トイレのゴミが机の上に置きっぱなし")</f>
        <v>トイレのゴミが机の上に置きっぱなし</v>
      </c>
      <c r="H170" s="220"/>
      <c r="I170" s="220"/>
      <c r="J170" s="5"/>
      <c r="K170" s="1282"/>
      <c r="L170" s="1282"/>
      <c r="O170" s="1293"/>
      <c r="P170" s="1293"/>
      <c r="Q170" s="1293"/>
      <c r="R170" s="1293"/>
      <c r="S170" s="1293"/>
      <c r="T170" s="1293"/>
      <c r="U170" s="1293"/>
      <c r="W170" s="1293" t="str">
        <f>'🔵クレーム'!C161</f>
        <v/>
      </c>
      <c r="X170" s="1293" t="str">
        <f>'🔵クレーム'!D161</f>
        <v/>
      </c>
      <c r="Y170" s="1292" t="str">
        <f>'🔵クレーム'!I161</f>
        <v/>
      </c>
      <c r="Z170" s="1293" t="str">
        <f>'🔵クレーム'!J161</f>
        <v/>
      </c>
      <c r="AA170" s="1293" t="str">
        <f>'🔵クレーム'!K161</f>
        <v/>
      </c>
      <c r="AB170" s="1293" t="str">
        <f>'🔵クレーム'!L161</f>
        <v/>
      </c>
      <c r="AC170" s="1295" t="str">
        <f>'🔵クレーム'!N161</f>
        <v/>
      </c>
      <c r="AH170" s="274"/>
    </row>
    <row r="171">
      <c r="B171" s="1270" t="str">
        <f>IFERROR(__xludf.DUMMYFUNCTION("""COMPUTED_VALUE"""),"11月")</f>
        <v>11月</v>
      </c>
      <c r="C171" s="1270" t="str">
        <f>IFERROR(__xludf.DUMMYFUNCTION("""COMPUTED_VALUE"""),"3日")</f>
        <v>3日</v>
      </c>
      <c r="D171" s="1270" t="str">
        <f>IFERROR(__xludf.DUMMYFUNCTION("""COMPUTED_VALUE"""),"口コミ")</f>
        <v>口コミ</v>
      </c>
      <c r="E171" s="1338"/>
      <c r="F171" s="1338"/>
      <c r="G171" s="1339" t="str">
        <f>IFERROR(__xludf.DUMMYFUNCTION("""COMPUTED_VALUE"""),"ベッドの下に前泊者の靴下があった")</f>
        <v>ベッドの下に前泊者の靴下があった</v>
      </c>
      <c r="H171" s="220"/>
      <c r="I171" s="220"/>
      <c r="J171" s="5"/>
      <c r="K171" s="1282"/>
      <c r="L171" s="1282"/>
      <c r="O171" s="1293"/>
      <c r="P171" s="1293"/>
      <c r="Q171" s="1293"/>
      <c r="R171" s="1293"/>
      <c r="S171" s="1293"/>
      <c r="T171" s="1293"/>
      <c r="U171" s="1293"/>
      <c r="W171" s="1293" t="str">
        <f>'🔵クレーム'!C162</f>
        <v/>
      </c>
      <c r="X171" s="1293" t="str">
        <f>'🔵クレーム'!D162</f>
        <v/>
      </c>
      <c r="Y171" s="1292" t="str">
        <f>'🔵クレーム'!I162</f>
        <v/>
      </c>
      <c r="Z171" s="1293" t="str">
        <f>'🔵クレーム'!J162</f>
        <v/>
      </c>
      <c r="AA171" s="1293" t="str">
        <f>'🔵クレーム'!K162</f>
        <v/>
      </c>
      <c r="AB171" s="1293" t="str">
        <f>'🔵クレーム'!L162</f>
        <v/>
      </c>
      <c r="AC171" s="1295" t="str">
        <f>'🔵クレーム'!N162</f>
        <v/>
      </c>
      <c r="AH171" s="274"/>
    </row>
    <row r="172">
      <c r="B172" s="1270" t="str">
        <f>IFERROR(__xludf.DUMMYFUNCTION("""COMPUTED_VALUE"""),"11月")</f>
        <v>11月</v>
      </c>
      <c r="C172" s="1270" t="str">
        <f>IFERROR(__xludf.DUMMYFUNCTION("""COMPUTED_VALUE"""),"4日")</f>
        <v>4日</v>
      </c>
      <c r="D172" s="1270" t="str">
        <f>IFERROR(__xludf.DUMMYFUNCTION("""COMPUTED_VALUE"""),"汚れ")</f>
        <v>汚れ</v>
      </c>
      <c r="E172" s="1338" t="str">
        <f>IFERROR(__xludf.DUMMYFUNCTION("""COMPUTED_VALUE"""),"イラノ")</f>
        <v>イラノ</v>
      </c>
      <c r="F172" s="1338"/>
      <c r="G172" s="1339" t="str">
        <f>IFERROR(__xludf.DUMMYFUNCTION("""COMPUTED_VALUE"""),"デュべに汚れ")</f>
        <v>デュべに汚れ</v>
      </c>
      <c r="H172" s="220"/>
      <c r="I172" s="220"/>
      <c r="J172" s="5"/>
      <c r="K172" s="1282"/>
      <c r="L172" s="1282"/>
      <c r="O172" s="1293"/>
      <c r="P172" s="1293"/>
      <c r="Q172" s="1293"/>
      <c r="R172" s="1293"/>
      <c r="S172" s="1293"/>
      <c r="T172" s="1293"/>
      <c r="U172" s="1293"/>
      <c r="W172" s="1293" t="str">
        <f>'🔵クレーム'!C163</f>
        <v/>
      </c>
      <c r="X172" s="1293" t="str">
        <f>'🔵クレーム'!D163</f>
        <v/>
      </c>
      <c r="Y172" s="1292" t="str">
        <f>'🔵クレーム'!I163</f>
        <v/>
      </c>
      <c r="Z172" s="1293" t="str">
        <f>'🔵クレーム'!J163</f>
        <v/>
      </c>
      <c r="AA172" s="1293" t="str">
        <f>'🔵クレーム'!K163</f>
        <v/>
      </c>
      <c r="AB172" s="1293" t="str">
        <f>'🔵クレーム'!L163</f>
        <v/>
      </c>
      <c r="AC172" s="1295" t="str">
        <f>'🔵クレーム'!N163</f>
        <v/>
      </c>
      <c r="AH172" s="274"/>
    </row>
    <row r="173">
      <c r="B173" s="1270" t="str">
        <f>IFERROR(__xludf.DUMMYFUNCTION("""COMPUTED_VALUE"""),"11月")</f>
        <v>11月</v>
      </c>
      <c r="C173" s="1270" t="str">
        <f>IFERROR(__xludf.DUMMYFUNCTION("""COMPUTED_VALUE"""),"4日")</f>
        <v>4日</v>
      </c>
      <c r="D173" s="1270" t="str">
        <f>IFERROR(__xludf.DUMMYFUNCTION("""COMPUTED_VALUE"""),"口コミ")</f>
        <v>口コミ</v>
      </c>
      <c r="E173" s="1338"/>
      <c r="F173" s="1338"/>
      <c r="G173" s="1339" t="str">
        <f>IFERROR(__xludf.DUMMYFUNCTION("""COMPUTED_VALUE"""),"トイレのゴミが机の上にあった")</f>
        <v>トイレのゴミが机の上にあった</v>
      </c>
      <c r="H173" s="220"/>
      <c r="I173" s="220"/>
      <c r="J173" s="5"/>
      <c r="K173" s="1282"/>
      <c r="L173" s="1282"/>
      <c r="O173" s="1293"/>
      <c r="P173" s="1293"/>
      <c r="Q173" s="1293"/>
      <c r="R173" s="1293"/>
      <c r="S173" s="1293"/>
      <c r="T173" s="1293"/>
      <c r="U173" s="1293"/>
      <c r="W173" s="1293" t="str">
        <f>'🔵クレーム'!C164</f>
        <v/>
      </c>
      <c r="X173" s="1293" t="str">
        <f>'🔵クレーム'!D164</f>
        <v/>
      </c>
      <c r="Y173" s="1292" t="str">
        <f>'🔵クレーム'!I164</f>
        <v/>
      </c>
      <c r="Z173" s="1293" t="str">
        <f>'🔵クレーム'!J164</f>
        <v/>
      </c>
      <c r="AA173" s="1293" t="str">
        <f>'🔵クレーム'!K164</f>
        <v/>
      </c>
      <c r="AB173" s="1293" t="str">
        <f>'🔵クレーム'!L164</f>
        <v/>
      </c>
      <c r="AC173" s="1295" t="str">
        <f>'🔵クレーム'!N164</f>
        <v/>
      </c>
      <c r="AH173" s="274"/>
    </row>
    <row r="174">
      <c r="B174" s="1270" t="str">
        <f>IFERROR(__xludf.DUMMYFUNCTION("""COMPUTED_VALUE"""),"11月")</f>
        <v>11月</v>
      </c>
      <c r="C174" s="1270" t="str">
        <f>IFERROR(__xludf.DUMMYFUNCTION("""COMPUTED_VALUE"""),"14日")</f>
        <v>14日</v>
      </c>
      <c r="D174" s="1270" t="str">
        <f>IFERROR(__xludf.DUMMYFUNCTION("""COMPUTED_VALUE"""),"髪の毛")</f>
        <v>髪の毛</v>
      </c>
      <c r="E174" s="1338" t="str">
        <f>IFERROR(__xludf.DUMMYFUNCTION("""COMPUTED_VALUE"""),"ジェ")</f>
        <v>ジェ</v>
      </c>
      <c r="F174" s="1338" t="str">
        <f>IFERROR(__xludf.DUMMYFUNCTION("""COMPUTED_VALUE"""),"ススマ")</f>
        <v>ススマ</v>
      </c>
      <c r="G174" s="1339" t="str">
        <f>IFERROR(__xludf.DUMMYFUNCTION("""COMPUTED_VALUE"""),"コップの中に髪の毛が入っていた")</f>
        <v>コップの中に髪の毛が入っていた</v>
      </c>
      <c r="H174" s="220"/>
      <c r="I174" s="220"/>
      <c r="J174" s="5"/>
      <c r="K174" s="1282"/>
      <c r="L174" s="1282"/>
      <c r="O174" s="1293"/>
      <c r="P174" s="1293"/>
      <c r="Q174" s="1293"/>
      <c r="R174" s="1293"/>
      <c r="S174" s="1293"/>
      <c r="T174" s="1293"/>
      <c r="U174" s="1293"/>
      <c r="W174" s="1293" t="str">
        <f>'🔵クレーム'!C165</f>
        <v/>
      </c>
      <c r="X174" s="1293" t="str">
        <f>'🔵クレーム'!D165</f>
        <v/>
      </c>
      <c r="Y174" s="1292" t="str">
        <f>'🔵クレーム'!I165</f>
        <v/>
      </c>
      <c r="Z174" s="1293" t="str">
        <f>'🔵クレーム'!J165</f>
        <v/>
      </c>
      <c r="AA174" s="1293" t="str">
        <f>'🔵クレーム'!K165</f>
        <v/>
      </c>
      <c r="AB174" s="1293" t="str">
        <f>'🔵クレーム'!L165</f>
        <v/>
      </c>
      <c r="AC174" s="1295" t="str">
        <f>'🔵クレーム'!N165</f>
        <v/>
      </c>
      <c r="AH174" s="274"/>
    </row>
    <row r="175">
      <c r="B175" s="1270" t="str">
        <f>IFERROR(__xludf.DUMMYFUNCTION("""COMPUTED_VALUE"""),"11月")</f>
        <v>11月</v>
      </c>
      <c r="C175" s="1270" t="str">
        <f>IFERROR(__xludf.DUMMYFUNCTION("""COMPUTED_VALUE"""),"15日")</f>
        <v>15日</v>
      </c>
      <c r="D175" s="1270" t="str">
        <f>IFERROR(__xludf.DUMMYFUNCTION("""COMPUTED_VALUE"""),"口コミ")</f>
        <v>口コミ</v>
      </c>
      <c r="E175" s="1338"/>
      <c r="F175" s="1338"/>
      <c r="G175" s="1339" t="str">
        <f>IFERROR(__xludf.DUMMYFUNCTION("""COMPUTED_VALUE"""),"浴槽にぬめりあり")</f>
        <v>浴槽にぬめりあり</v>
      </c>
      <c r="H175" s="220"/>
      <c r="I175" s="220"/>
      <c r="J175" s="5"/>
      <c r="K175" s="1282"/>
      <c r="L175" s="1282"/>
      <c r="O175" s="1293"/>
      <c r="P175" s="1293"/>
      <c r="Q175" s="1293"/>
      <c r="R175" s="1293"/>
      <c r="S175" s="1293"/>
      <c r="T175" s="1293"/>
      <c r="U175" s="1293"/>
      <c r="W175" s="1293" t="str">
        <f>'🔵クレーム'!C166</f>
        <v/>
      </c>
      <c r="X175" s="1293" t="str">
        <f>'🔵クレーム'!D166</f>
        <v/>
      </c>
      <c r="Y175" s="1292" t="str">
        <f>'🔵クレーム'!I166</f>
        <v/>
      </c>
      <c r="Z175" s="1293" t="str">
        <f>'🔵クレーム'!J166</f>
        <v/>
      </c>
      <c r="AA175" s="1293" t="str">
        <f>'🔵クレーム'!K166</f>
        <v/>
      </c>
      <c r="AB175" s="1293" t="str">
        <f>'🔵クレーム'!L166</f>
        <v/>
      </c>
      <c r="AC175" s="1295" t="str">
        <f>'🔵クレーム'!N166</f>
        <v/>
      </c>
      <c r="AH175" s="274"/>
    </row>
    <row r="176">
      <c r="B176" s="1270" t="str">
        <f>IFERROR(__xludf.DUMMYFUNCTION("""COMPUTED_VALUE"""),"11月")</f>
        <v>11月</v>
      </c>
      <c r="C176" s="1270" t="str">
        <f>IFERROR(__xludf.DUMMYFUNCTION("""COMPUTED_VALUE"""),"15日")</f>
        <v>15日</v>
      </c>
      <c r="D176" s="1270" t="str">
        <f>IFERROR(__xludf.DUMMYFUNCTION("""COMPUTED_VALUE"""),"その他")</f>
        <v>その他</v>
      </c>
      <c r="E176" s="1338" t="str">
        <f>IFERROR(__xludf.DUMMYFUNCTION("""COMPUTED_VALUE"""),"カマラ")</f>
        <v>カマラ</v>
      </c>
      <c r="F176" s="1338" t="str">
        <f>IFERROR(__xludf.DUMMYFUNCTION("""COMPUTED_VALUE"""),"エマ")</f>
        <v>エマ</v>
      </c>
      <c r="G176" s="1339" t="str">
        <f>IFERROR(__xludf.DUMMYFUNCTION("""COMPUTED_VALUE"""),"便座あいてた、ベイシン栓しまってた")</f>
        <v>便座あいてた、ベイシン栓しまってた</v>
      </c>
      <c r="H176" s="220"/>
      <c r="I176" s="220"/>
      <c r="J176" s="5"/>
      <c r="K176" s="1282"/>
      <c r="L176" s="1282"/>
      <c r="O176" s="1293"/>
      <c r="P176" s="1293"/>
      <c r="Q176" s="1293"/>
      <c r="R176" s="1293"/>
      <c r="S176" s="1293"/>
      <c r="T176" s="1293"/>
      <c r="U176" s="1293"/>
      <c r="W176" s="1293" t="str">
        <f>'🔵クレーム'!C167</f>
        <v/>
      </c>
      <c r="X176" s="1293" t="str">
        <f>'🔵クレーム'!D167</f>
        <v/>
      </c>
      <c r="Y176" s="1292" t="str">
        <f>'🔵クレーム'!I167</f>
        <v/>
      </c>
      <c r="Z176" s="1293" t="str">
        <f>'🔵クレーム'!J167</f>
        <v/>
      </c>
      <c r="AA176" s="1293" t="str">
        <f>'🔵クレーム'!K167</f>
        <v/>
      </c>
      <c r="AB176" s="1293" t="str">
        <f>'🔵クレーム'!L167</f>
        <v/>
      </c>
      <c r="AC176" s="1295" t="str">
        <f>'🔵クレーム'!N167</f>
        <v/>
      </c>
      <c r="AH176" s="274"/>
    </row>
    <row r="177">
      <c r="B177" s="1270" t="str">
        <f>IFERROR(__xludf.DUMMYFUNCTION("""COMPUTED_VALUE"""),"11月")</f>
        <v>11月</v>
      </c>
      <c r="C177" s="1270" t="str">
        <f>IFERROR(__xludf.DUMMYFUNCTION("""COMPUTED_VALUE"""),"16日")</f>
        <v>16日</v>
      </c>
      <c r="D177" s="1270" t="str">
        <f>IFERROR(__xludf.DUMMYFUNCTION("""COMPUTED_VALUE"""),"口コミ")</f>
        <v>口コミ</v>
      </c>
      <c r="E177" s="1338"/>
      <c r="F177" s="1338"/>
      <c r="G177" s="1339" t="str">
        <f>IFERROR(__xludf.DUMMYFUNCTION("""COMPUTED_VALUE"""),"UB天井に小さなカビ２か所")</f>
        <v>UB天井に小さなカビ２か所</v>
      </c>
      <c r="H177" s="220"/>
      <c r="I177" s="220"/>
      <c r="J177" s="5"/>
      <c r="K177" s="1282"/>
      <c r="L177" s="1282"/>
      <c r="O177" s="1293"/>
      <c r="P177" s="1293"/>
      <c r="Q177" s="1293"/>
      <c r="R177" s="1293"/>
      <c r="S177" s="1293"/>
      <c r="T177" s="1293"/>
      <c r="U177" s="1293"/>
      <c r="W177" s="1293" t="str">
        <f>'🔵クレーム'!C168</f>
        <v/>
      </c>
      <c r="X177" s="1293" t="str">
        <f>'🔵クレーム'!D168</f>
        <v/>
      </c>
      <c r="Y177" s="1292" t="str">
        <f>'🔵クレーム'!I168</f>
        <v/>
      </c>
      <c r="Z177" s="1293" t="str">
        <f>'🔵クレーム'!J168</f>
        <v/>
      </c>
      <c r="AA177" s="1293" t="str">
        <f>'🔵クレーム'!K168</f>
        <v/>
      </c>
      <c r="AB177" s="1293" t="str">
        <f>'🔵クレーム'!L168</f>
        <v/>
      </c>
      <c r="AC177" s="1295" t="str">
        <f>'🔵クレーム'!N168</f>
        <v/>
      </c>
      <c r="AH177" s="274"/>
    </row>
    <row r="178">
      <c r="B178" s="1270" t="str">
        <f>IFERROR(__xludf.DUMMYFUNCTION("""COMPUTED_VALUE"""),"11月")</f>
        <v>11月</v>
      </c>
      <c r="C178" s="1270" t="str">
        <f>IFERROR(__xludf.DUMMYFUNCTION("""COMPUTED_VALUE"""),"18日")</f>
        <v>18日</v>
      </c>
      <c r="D178" s="1270" t="str">
        <f>IFERROR(__xludf.DUMMYFUNCTION("""COMPUTED_VALUE"""),"口コミ")</f>
        <v>口コミ</v>
      </c>
      <c r="E178" s="1338"/>
      <c r="F178" s="1338"/>
      <c r="G178" s="1339" t="str">
        <f>IFERROR(__xludf.DUMMYFUNCTION("""COMPUTED_VALUE"""),"ガウンくさい")</f>
        <v>ガウンくさい</v>
      </c>
      <c r="H178" s="220"/>
      <c r="I178" s="220"/>
      <c r="J178" s="5"/>
      <c r="K178" s="1282"/>
      <c r="L178" s="1282"/>
      <c r="O178" s="1293"/>
      <c r="P178" s="1293"/>
      <c r="Q178" s="1293"/>
      <c r="R178" s="1293"/>
      <c r="S178" s="1293"/>
      <c r="T178" s="1293"/>
      <c r="U178" s="1293"/>
      <c r="W178" s="1293" t="str">
        <f>'🔵クレーム'!C169</f>
        <v/>
      </c>
      <c r="X178" s="1293" t="str">
        <f>'🔵クレーム'!D169</f>
        <v/>
      </c>
      <c r="Y178" s="1292" t="str">
        <f>'🔵クレーム'!I169</f>
        <v/>
      </c>
      <c r="Z178" s="1293" t="str">
        <f>'🔵クレーム'!J169</f>
        <v/>
      </c>
      <c r="AA178" s="1293" t="str">
        <f>'🔵クレーム'!K169</f>
        <v/>
      </c>
      <c r="AB178" s="1293" t="str">
        <f>'🔵クレーム'!L169</f>
        <v/>
      </c>
      <c r="AC178" s="1295" t="str">
        <f>'🔵クレーム'!N169</f>
        <v/>
      </c>
      <c r="AH178" s="274"/>
    </row>
    <row r="179">
      <c r="B179" s="1270" t="str">
        <f>IFERROR(__xludf.DUMMYFUNCTION("""COMPUTED_VALUE"""),"11月")</f>
        <v>11月</v>
      </c>
      <c r="C179" s="1270" t="str">
        <f>IFERROR(__xludf.DUMMYFUNCTION("""COMPUTED_VALUE"""),"20日")</f>
        <v>20日</v>
      </c>
      <c r="D179" s="1270" t="str">
        <f>IFERROR(__xludf.DUMMYFUNCTION("""COMPUTED_VALUE"""),"その他")</f>
        <v>その他</v>
      </c>
      <c r="E179" s="1338" t="str">
        <f>IFERROR(__xludf.DUMMYFUNCTION("""COMPUTED_VALUE"""),"ディパク")</f>
        <v>ディパク</v>
      </c>
      <c r="F179" s="1338" t="str">
        <f>IFERROR(__xludf.DUMMYFUNCTION("""COMPUTED_VALUE"""),"サルミラ")</f>
        <v>サルミラ</v>
      </c>
      <c r="G179" s="1339" t="str">
        <f>IFERROR(__xludf.DUMMYFUNCTION("""COMPUTED_VALUE"""),"禁煙部屋なのにたばこくさい")</f>
        <v>禁煙部屋なのにたばこくさい</v>
      </c>
      <c r="H179" s="220"/>
      <c r="I179" s="220"/>
      <c r="J179" s="5"/>
      <c r="K179" s="1282"/>
      <c r="L179" s="1282"/>
      <c r="O179" s="1293"/>
      <c r="P179" s="1293"/>
      <c r="Q179" s="1293"/>
      <c r="R179" s="1293"/>
      <c r="S179" s="1293"/>
      <c r="T179" s="1293"/>
      <c r="U179" s="1293"/>
      <c r="W179" s="1293" t="str">
        <f>'🔵クレーム'!C170</f>
        <v/>
      </c>
      <c r="X179" s="1293" t="str">
        <f>'🔵クレーム'!D170</f>
        <v/>
      </c>
      <c r="Y179" s="1292" t="str">
        <f>'🔵クレーム'!I170</f>
        <v/>
      </c>
      <c r="Z179" s="1293" t="str">
        <f>'🔵クレーム'!J170</f>
        <v/>
      </c>
      <c r="AA179" s="1293" t="str">
        <f>'🔵クレーム'!K170</f>
        <v/>
      </c>
      <c r="AB179" s="1293" t="str">
        <f>'🔵クレーム'!L170</f>
        <v/>
      </c>
      <c r="AC179" s="1295" t="str">
        <f>'🔵クレーム'!N170</f>
        <v/>
      </c>
      <c r="AH179" s="274"/>
    </row>
    <row r="180">
      <c r="B180" s="1270" t="str">
        <f>IFERROR(__xludf.DUMMYFUNCTION("""COMPUTED_VALUE"""),"11月")</f>
        <v>11月</v>
      </c>
      <c r="C180" s="1270" t="str">
        <f>IFERROR(__xludf.DUMMYFUNCTION("""COMPUTED_VALUE"""),"22日")</f>
        <v>22日</v>
      </c>
      <c r="D180" s="1270" t="str">
        <f>IFERROR(__xludf.DUMMYFUNCTION("""COMPUTED_VALUE"""),"セット漏れ")</f>
        <v>セット漏れ</v>
      </c>
      <c r="E180" s="1338" t="str">
        <f>IFERROR(__xludf.DUMMYFUNCTION("""COMPUTED_VALUE"""),"ディパク")</f>
        <v>ディパク</v>
      </c>
      <c r="F180" s="1338" t="str">
        <f>IFERROR(__xludf.DUMMYFUNCTION("""COMPUTED_VALUE"""),"サルスティ")</f>
        <v>サルスティ</v>
      </c>
      <c r="G180" s="1339" t="str">
        <f>IFERROR(__xludf.DUMMYFUNCTION("""COMPUTED_VALUE"""),"歯ブラシなかった")</f>
        <v>歯ブラシなかった</v>
      </c>
      <c r="H180" s="220"/>
      <c r="I180" s="220"/>
      <c r="J180" s="5"/>
      <c r="K180" s="1282"/>
      <c r="L180" s="1282"/>
      <c r="O180" s="1293"/>
      <c r="P180" s="1293"/>
      <c r="Q180" s="1293"/>
      <c r="R180" s="1293"/>
      <c r="S180" s="1293"/>
      <c r="T180" s="1293"/>
      <c r="U180" s="1293"/>
      <c r="W180" s="1293" t="str">
        <f>'🔵クレーム'!C171</f>
        <v/>
      </c>
      <c r="X180" s="1293" t="str">
        <f>'🔵クレーム'!D171</f>
        <v/>
      </c>
      <c r="Y180" s="1292" t="str">
        <f>'🔵クレーム'!I171</f>
        <v/>
      </c>
      <c r="Z180" s="1293" t="str">
        <f>'🔵クレーム'!J171</f>
        <v/>
      </c>
      <c r="AA180" s="1293" t="str">
        <f>'🔵クレーム'!K171</f>
        <v/>
      </c>
      <c r="AB180" s="1293" t="str">
        <f>'🔵クレーム'!L171</f>
        <v/>
      </c>
      <c r="AC180" s="1295" t="str">
        <f>'🔵クレーム'!N171</f>
        <v/>
      </c>
      <c r="AH180" s="274"/>
    </row>
    <row r="181">
      <c r="B181" s="1270" t="str">
        <f>IFERROR(__xludf.DUMMYFUNCTION("""COMPUTED_VALUE"""),"11月")</f>
        <v>11月</v>
      </c>
      <c r="C181" s="1270" t="str">
        <f>IFERROR(__xludf.DUMMYFUNCTION("""COMPUTED_VALUE"""),"26日")</f>
        <v>26日</v>
      </c>
      <c r="D181" s="1270" t="str">
        <f>IFERROR(__xludf.DUMMYFUNCTION("""COMPUTED_VALUE"""),"口コミ")</f>
        <v>口コミ</v>
      </c>
      <c r="E181" s="1338"/>
      <c r="F181" s="1338"/>
      <c r="G181" s="1339" t="str">
        <f>IFERROR(__xludf.DUMMYFUNCTION("""COMPUTED_VALUE"""),"タオル臭い")</f>
        <v>タオル臭い</v>
      </c>
      <c r="H181" s="220"/>
      <c r="I181" s="220"/>
      <c r="J181" s="5"/>
      <c r="K181" s="1282"/>
      <c r="L181" s="1282"/>
      <c r="O181" s="1293"/>
      <c r="P181" s="1293"/>
      <c r="Q181" s="1293"/>
      <c r="R181" s="1293"/>
      <c r="S181" s="1293"/>
      <c r="T181" s="1293"/>
      <c r="U181" s="1293"/>
      <c r="W181" s="1293" t="str">
        <f>'🔵クレーム'!C172</f>
        <v/>
      </c>
      <c r="X181" s="1293" t="str">
        <f>'🔵クレーム'!D172</f>
        <v/>
      </c>
      <c r="Y181" s="1292" t="str">
        <f>'🔵クレーム'!I172</f>
        <v/>
      </c>
      <c r="Z181" s="1293" t="str">
        <f>'🔵クレーム'!J172</f>
        <v/>
      </c>
      <c r="AA181" s="1293" t="str">
        <f>'🔵クレーム'!K172</f>
        <v/>
      </c>
      <c r="AB181" s="1293" t="str">
        <f>'🔵クレーム'!L172</f>
        <v/>
      </c>
      <c r="AC181" s="1295" t="str">
        <f>'🔵クレーム'!N172</f>
        <v/>
      </c>
      <c r="AH181" s="274"/>
    </row>
    <row r="182">
      <c r="B182" s="1270" t="str">
        <f>IFERROR(__xludf.DUMMYFUNCTION("""COMPUTED_VALUE"""),"12月")</f>
        <v>12月</v>
      </c>
      <c r="C182" s="1270" t="str">
        <f>IFERROR(__xludf.DUMMYFUNCTION("""COMPUTED_VALUE"""),"2日")</f>
        <v>2日</v>
      </c>
      <c r="D182" s="1270" t="str">
        <f>IFERROR(__xludf.DUMMYFUNCTION("""COMPUTED_VALUE"""),"口コミ")</f>
        <v>口コミ</v>
      </c>
      <c r="E182" s="1338"/>
      <c r="F182" s="1338"/>
      <c r="G182" s="1339" t="str">
        <f>IFERROR(__xludf.DUMMYFUNCTION("""COMPUTED_VALUE"""),"ガウン臭い")</f>
        <v>ガウン臭い</v>
      </c>
      <c r="H182" s="220"/>
      <c r="I182" s="220"/>
      <c r="J182" s="5"/>
      <c r="K182" s="1282"/>
      <c r="L182" s="1282"/>
      <c r="O182" s="1293"/>
      <c r="P182" s="1293"/>
      <c r="Q182" s="1293"/>
      <c r="R182" s="1293"/>
      <c r="S182" s="1293"/>
      <c r="T182" s="1293"/>
      <c r="U182" s="1293"/>
      <c r="W182" s="1293" t="str">
        <f>'🔵クレーム'!C173</f>
        <v/>
      </c>
      <c r="X182" s="1293" t="str">
        <f>'🔵クレーム'!D173</f>
        <v/>
      </c>
      <c r="Y182" s="1292" t="str">
        <f>'🔵クレーム'!I173</f>
        <v/>
      </c>
      <c r="Z182" s="1293" t="str">
        <f>'🔵クレーム'!J173</f>
        <v/>
      </c>
      <c r="AA182" s="1293" t="str">
        <f>'🔵クレーム'!K173</f>
        <v/>
      </c>
      <c r="AB182" s="1293" t="str">
        <f>'🔵クレーム'!L173</f>
        <v/>
      </c>
      <c r="AC182" s="1295" t="str">
        <f>'🔵クレーム'!N173</f>
        <v/>
      </c>
      <c r="AH182" s="274"/>
    </row>
    <row r="183">
      <c r="B183" s="1270" t="str">
        <f>IFERROR(__xludf.DUMMYFUNCTION("""COMPUTED_VALUE"""),"12月")</f>
        <v>12月</v>
      </c>
      <c r="C183" s="1270" t="str">
        <f>IFERROR(__xludf.DUMMYFUNCTION("""COMPUTED_VALUE"""),"2日")</f>
        <v>2日</v>
      </c>
      <c r="D183" s="1270" t="str">
        <f>IFERROR(__xludf.DUMMYFUNCTION("""COMPUTED_VALUE"""),"口コミ")</f>
        <v>口コミ</v>
      </c>
      <c r="E183" s="1338"/>
      <c r="F183" s="1338"/>
      <c r="G183" s="1339" t="str">
        <f>IFERROR(__xludf.DUMMYFUNCTION("""COMPUTED_VALUE"""),"シーツに髪の毛")</f>
        <v>シーツに髪の毛</v>
      </c>
      <c r="H183" s="220"/>
      <c r="I183" s="220"/>
      <c r="J183" s="5"/>
      <c r="K183" s="1282"/>
      <c r="L183" s="1282"/>
      <c r="O183" s="1293"/>
      <c r="P183" s="1293"/>
      <c r="Q183" s="1293"/>
      <c r="R183" s="1293"/>
      <c r="S183" s="1293"/>
      <c r="T183" s="1293"/>
      <c r="U183" s="1293"/>
      <c r="W183" s="1293" t="str">
        <f>'🔵クレーム'!C174</f>
        <v/>
      </c>
      <c r="X183" s="1293" t="str">
        <f>'🔵クレーム'!D174</f>
        <v/>
      </c>
      <c r="Y183" s="1292" t="str">
        <f>'🔵クレーム'!I174</f>
        <v/>
      </c>
      <c r="Z183" s="1293" t="str">
        <f>'🔵クレーム'!J174</f>
        <v/>
      </c>
      <c r="AA183" s="1293" t="str">
        <f>'🔵クレーム'!K174</f>
        <v/>
      </c>
      <c r="AB183" s="1293" t="str">
        <f>'🔵クレーム'!L174</f>
        <v/>
      </c>
      <c r="AC183" s="1295" t="str">
        <f>'🔵クレーム'!N174</f>
        <v/>
      </c>
      <c r="AH183" s="274"/>
    </row>
    <row r="184">
      <c r="B184" s="1270" t="str">
        <f>IFERROR(__xludf.DUMMYFUNCTION("""COMPUTED_VALUE"""),"12月")</f>
        <v>12月</v>
      </c>
      <c r="C184" s="1270" t="str">
        <f>IFERROR(__xludf.DUMMYFUNCTION("""COMPUTED_VALUE"""),"4日")</f>
        <v>4日</v>
      </c>
      <c r="D184" s="1270" t="str">
        <f>IFERROR(__xludf.DUMMYFUNCTION("""COMPUTED_VALUE"""),"その他")</f>
        <v>その他</v>
      </c>
      <c r="E184" s="1338"/>
      <c r="F184" s="1338" t="str">
        <f>IFERROR(__xludf.DUMMYFUNCTION("""COMPUTED_VALUE"""),"プスカル")</f>
        <v>プスカル</v>
      </c>
      <c r="G184" s="1339" t="str">
        <f>IFERROR(__xludf.DUMMYFUNCTION("""COMPUTED_VALUE"""),"デスクシタ内に現金800円の忘れ物があったが報告がなかった。")</f>
        <v>デスクシタ内に現金800円の忘れ物があったが報告がなかった。</v>
      </c>
      <c r="H184" s="220"/>
      <c r="I184" s="220"/>
      <c r="J184" s="5"/>
      <c r="K184" s="1282"/>
      <c r="L184" s="1282"/>
      <c r="O184" s="1293"/>
      <c r="P184" s="1293"/>
      <c r="Q184" s="1293"/>
      <c r="R184" s="1293"/>
      <c r="S184" s="1293"/>
      <c r="T184" s="1293"/>
      <c r="U184" s="1293"/>
      <c r="W184" s="1293" t="str">
        <f>'🔵クレーム'!C175</f>
        <v/>
      </c>
      <c r="X184" s="1293" t="str">
        <f>'🔵クレーム'!D175</f>
        <v/>
      </c>
      <c r="Y184" s="1292" t="str">
        <f>'🔵クレーム'!I175</f>
        <v/>
      </c>
      <c r="Z184" s="1293" t="str">
        <f>'🔵クレーム'!J175</f>
        <v/>
      </c>
      <c r="AA184" s="1293" t="str">
        <f>'🔵クレーム'!K175</f>
        <v/>
      </c>
      <c r="AB184" s="1293" t="str">
        <f>'🔵クレーム'!L175</f>
        <v/>
      </c>
      <c r="AC184" s="1295" t="str">
        <f>'🔵クレーム'!N175</f>
        <v/>
      </c>
      <c r="AH184" s="274"/>
    </row>
    <row r="185">
      <c r="B185" s="1270" t="str">
        <f>IFERROR(__xludf.DUMMYFUNCTION("""COMPUTED_VALUE"""),"12月")</f>
        <v>12月</v>
      </c>
      <c r="C185" s="1270" t="str">
        <f>IFERROR(__xludf.DUMMYFUNCTION("""COMPUTED_VALUE"""),"7日")</f>
        <v>7日</v>
      </c>
      <c r="D185" s="1270" t="str">
        <f>IFERROR(__xludf.DUMMYFUNCTION("""COMPUTED_VALUE"""),"髪の毛")</f>
        <v>髪の毛</v>
      </c>
      <c r="E185" s="1338"/>
      <c r="F185" s="1338" t="str">
        <f>IFERROR(__xludf.DUMMYFUNCTION("""COMPUTED_VALUE"""),"サムジャナ")</f>
        <v>サムジャナ</v>
      </c>
      <c r="G185" s="1339" t="str">
        <f>IFERROR(__xludf.DUMMYFUNCTION("""COMPUTED_VALUE"""),"枕カバー内に毛髪があった。")</f>
        <v>枕カバー内に毛髪があった。</v>
      </c>
      <c r="H185" s="220"/>
      <c r="I185" s="220"/>
      <c r="J185" s="5"/>
      <c r="K185" s="1282"/>
      <c r="L185" s="1282"/>
      <c r="O185" s="1293"/>
      <c r="P185" s="1293"/>
      <c r="Q185" s="1293"/>
      <c r="R185" s="1293"/>
      <c r="S185" s="1293"/>
      <c r="T185" s="1293"/>
      <c r="U185" s="1293"/>
      <c r="W185" s="1293" t="str">
        <f>'🔵クレーム'!C176</f>
        <v/>
      </c>
      <c r="X185" s="1293" t="str">
        <f>'🔵クレーム'!D176</f>
        <v/>
      </c>
      <c r="Y185" s="1292" t="str">
        <f>'🔵クレーム'!I176</f>
        <v/>
      </c>
      <c r="Z185" s="1293" t="str">
        <f>'🔵クレーム'!J176</f>
        <v/>
      </c>
      <c r="AA185" s="1293" t="str">
        <f>'🔵クレーム'!K176</f>
        <v/>
      </c>
      <c r="AB185" s="1293" t="str">
        <f>'🔵クレーム'!L176</f>
        <v/>
      </c>
      <c r="AC185" s="1295" t="str">
        <f>'🔵クレーム'!N176</f>
        <v/>
      </c>
      <c r="AH185" s="274"/>
    </row>
    <row r="186">
      <c r="B186" s="1270" t="str">
        <f>IFERROR(__xludf.DUMMYFUNCTION("""COMPUTED_VALUE"""),"12月")</f>
        <v>12月</v>
      </c>
      <c r="C186" s="1270" t="str">
        <f>IFERROR(__xludf.DUMMYFUNCTION("""COMPUTED_VALUE"""),"8日")</f>
        <v>8日</v>
      </c>
      <c r="D186" s="1270" t="str">
        <f>IFERROR(__xludf.DUMMYFUNCTION("""COMPUTED_VALUE"""),"その他")</f>
        <v>その他</v>
      </c>
      <c r="E186" s="1338"/>
      <c r="F186" s="1338" t="str">
        <f>IFERROR(__xludf.DUMMYFUNCTION("""COMPUTED_VALUE"""),"ススマ")</f>
        <v>ススマ</v>
      </c>
      <c r="G186" s="1339" t="str">
        <f>IFERROR(__xludf.DUMMYFUNCTION("""COMPUTED_VALUE"""),"IN後部屋の窓が開いていた")</f>
        <v>IN後部屋の窓が開いていた</v>
      </c>
      <c r="H186" s="220"/>
      <c r="I186" s="220"/>
      <c r="J186" s="5"/>
      <c r="K186" s="1282"/>
      <c r="L186" s="1282"/>
      <c r="O186" s="1293"/>
      <c r="P186" s="1293"/>
      <c r="Q186" s="1293"/>
      <c r="R186" s="1293"/>
      <c r="S186" s="1293"/>
      <c r="T186" s="1293"/>
      <c r="U186" s="1293"/>
      <c r="W186" s="1293" t="str">
        <f>'🔵クレーム'!C177</f>
        <v/>
      </c>
      <c r="X186" s="1293" t="str">
        <f>'🔵クレーム'!D177</f>
        <v/>
      </c>
      <c r="Y186" s="1292" t="str">
        <f>'🔵クレーム'!I177</f>
        <v/>
      </c>
      <c r="Z186" s="1293" t="str">
        <f>'🔵クレーム'!J177</f>
        <v/>
      </c>
      <c r="AA186" s="1293" t="str">
        <f>'🔵クレーム'!K177</f>
        <v/>
      </c>
      <c r="AB186" s="1293" t="str">
        <f>'🔵クレーム'!L177</f>
        <v/>
      </c>
      <c r="AC186" s="1295" t="str">
        <f>'🔵クレーム'!N177</f>
        <v/>
      </c>
      <c r="AH186" s="274"/>
    </row>
    <row r="187">
      <c r="B187" s="1270" t="str">
        <f>IFERROR(__xludf.DUMMYFUNCTION("""COMPUTED_VALUE"""),"12月")</f>
        <v>12月</v>
      </c>
      <c r="C187" s="1270" t="str">
        <f>IFERROR(__xludf.DUMMYFUNCTION("""COMPUTED_VALUE"""),"14日")</f>
        <v>14日</v>
      </c>
      <c r="D187" s="1270" t="str">
        <f>IFERROR(__xludf.DUMMYFUNCTION("""COMPUTED_VALUE"""),"残置")</f>
        <v>残置</v>
      </c>
      <c r="E187" s="1338" t="str">
        <f>IFERROR(__xludf.DUMMYFUNCTION("""COMPUTED_VALUE"""),"ラジタ")</f>
        <v>ラジタ</v>
      </c>
      <c r="F187" s="1338" t="str">
        <f>IFERROR(__xludf.DUMMYFUNCTION("""COMPUTED_VALUE"""),"ラリー")</f>
        <v>ラリー</v>
      </c>
      <c r="G187" s="1339" t="str">
        <f>IFERROR(__xludf.DUMMYFUNCTION("""COMPUTED_VALUE"""),"前泊者のモノが冷蔵庫にあった")</f>
        <v>前泊者のモノが冷蔵庫にあった</v>
      </c>
      <c r="H187" s="220"/>
      <c r="I187" s="220"/>
      <c r="J187" s="5"/>
      <c r="K187" s="1282"/>
      <c r="L187" s="1282"/>
      <c r="O187" s="1293"/>
      <c r="P187" s="1293"/>
      <c r="Q187" s="1293"/>
      <c r="R187" s="1293"/>
      <c r="S187" s="1293"/>
      <c r="T187" s="1293"/>
      <c r="U187" s="1293"/>
      <c r="W187" s="1293" t="str">
        <f>'🔵クレーム'!C178</f>
        <v/>
      </c>
      <c r="X187" s="1293" t="str">
        <f>'🔵クレーム'!D178</f>
        <v/>
      </c>
      <c r="Y187" s="1292" t="str">
        <f>'🔵クレーム'!I178</f>
        <v/>
      </c>
      <c r="Z187" s="1293" t="str">
        <f>'🔵クレーム'!J178</f>
        <v/>
      </c>
      <c r="AA187" s="1293" t="str">
        <f>'🔵クレーム'!K178</f>
        <v/>
      </c>
      <c r="AB187" s="1293" t="str">
        <f>'🔵クレーム'!L178</f>
        <v/>
      </c>
      <c r="AC187" s="1295" t="str">
        <f>'🔵クレーム'!N178</f>
        <v/>
      </c>
      <c r="AH187" s="274"/>
    </row>
    <row r="188">
      <c r="B188" s="1270" t="str">
        <f>IFERROR(__xludf.DUMMYFUNCTION("""COMPUTED_VALUE"""),"12月")</f>
        <v>12月</v>
      </c>
      <c r="C188" s="1270" t="str">
        <f>IFERROR(__xludf.DUMMYFUNCTION("""COMPUTED_VALUE"""),"14日")</f>
        <v>14日</v>
      </c>
      <c r="D188" s="1270" t="str">
        <f>IFERROR(__xludf.DUMMYFUNCTION("""COMPUTED_VALUE"""),"その他")</f>
        <v>その他</v>
      </c>
      <c r="E188" s="1338"/>
      <c r="F188" s="1338" t="str">
        <f>IFERROR(__xludf.DUMMYFUNCTION("""COMPUTED_VALUE"""),"カビタ")</f>
        <v>カビタ</v>
      </c>
      <c r="G188" s="1339" t="str">
        <f>IFERROR(__xludf.DUMMYFUNCTION("""COMPUTED_VALUE"""),"ヘアワックス忘れたがない")</f>
        <v>ヘアワックス忘れたがない</v>
      </c>
      <c r="H188" s="220"/>
      <c r="I188" s="220"/>
      <c r="J188" s="5"/>
      <c r="K188" s="1282"/>
      <c r="L188" s="1282"/>
      <c r="O188" s="1293"/>
      <c r="P188" s="1293"/>
      <c r="Q188" s="1293"/>
      <c r="R188" s="1293"/>
      <c r="S188" s="1293"/>
      <c r="T188" s="1293"/>
      <c r="U188" s="1293"/>
      <c r="W188" s="1293" t="str">
        <f>'🔵クレーム'!C179</f>
        <v/>
      </c>
      <c r="X188" s="1293" t="str">
        <f>'🔵クレーム'!D179</f>
        <v/>
      </c>
      <c r="Y188" s="1292" t="str">
        <f>'🔵クレーム'!I179</f>
        <v/>
      </c>
      <c r="Z188" s="1293" t="str">
        <f>'🔵クレーム'!J179</f>
        <v/>
      </c>
      <c r="AA188" s="1293" t="str">
        <f>'🔵クレーム'!K179</f>
        <v/>
      </c>
      <c r="AB188" s="1293" t="str">
        <f>'🔵クレーム'!L179</f>
        <v/>
      </c>
      <c r="AC188" s="1295" t="str">
        <f>'🔵クレーム'!N179</f>
        <v/>
      </c>
      <c r="AH188" s="274"/>
    </row>
    <row r="189">
      <c r="B189" s="1270" t="str">
        <f>IFERROR(__xludf.DUMMYFUNCTION("""COMPUTED_VALUE"""),"12月")</f>
        <v>12月</v>
      </c>
      <c r="C189" s="1270" t="str">
        <f>IFERROR(__xludf.DUMMYFUNCTION("""COMPUTED_VALUE"""),"17日")</f>
        <v>17日</v>
      </c>
      <c r="D189" s="1270" t="str">
        <f>IFERROR(__xludf.DUMMYFUNCTION("""COMPUTED_VALUE"""),"残置")</f>
        <v>残置</v>
      </c>
      <c r="E189" s="1338" t="str">
        <f>IFERROR(__xludf.DUMMYFUNCTION("""COMPUTED_VALUE"""),"イラノ")</f>
        <v>イラノ</v>
      </c>
      <c r="F189" s="1338" t="str">
        <f>IFERROR(__xludf.DUMMYFUNCTION("""COMPUTED_VALUE"""),"ジェイ")</f>
        <v>ジェイ</v>
      </c>
      <c r="G189" s="1339" t="str">
        <f>IFERROR(__xludf.DUMMYFUNCTION("""COMPUTED_VALUE"""),"冷蔵庫の中に前泊者の忘れ物(水)")</f>
        <v>冷蔵庫の中に前泊者の忘れ物(水)</v>
      </c>
      <c r="H189" s="220"/>
      <c r="I189" s="220"/>
      <c r="J189" s="5"/>
      <c r="K189" s="1282"/>
      <c r="L189" s="1282"/>
      <c r="O189" s="1293"/>
      <c r="P189" s="1293"/>
      <c r="Q189" s="1293"/>
      <c r="R189" s="1293"/>
      <c r="S189" s="1293"/>
      <c r="T189" s="1293"/>
      <c r="U189" s="1293"/>
      <c r="W189" s="1293" t="str">
        <f>'🔵クレーム'!C180</f>
        <v/>
      </c>
      <c r="X189" s="1293" t="str">
        <f>'🔵クレーム'!D180</f>
        <v/>
      </c>
      <c r="Y189" s="1292" t="str">
        <f>'🔵クレーム'!I180</f>
        <v/>
      </c>
      <c r="Z189" s="1293" t="str">
        <f>'🔵クレーム'!J180</f>
        <v/>
      </c>
      <c r="AA189" s="1293" t="str">
        <f>'🔵クレーム'!K180</f>
        <v/>
      </c>
      <c r="AB189" s="1293" t="str">
        <f>'🔵クレーム'!L180</f>
        <v/>
      </c>
      <c r="AC189" s="1295" t="str">
        <f>'🔵クレーム'!N180</f>
        <v/>
      </c>
      <c r="AH189" s="274"/>
    </row>
    <row r="190">
      <c r="B190" s="1270" t="str">
        <f>IFERROR(__xludf.DUMMYFUNCTION("""COMPUTED_VALUE"""),"12月")</f>
        <v>12月</v>
      </c>
      <c r="C190" s="1270" t="str">
        <f>IFERROR(__xludf.DUMMYFUNCTION("""COMPUTED_VALUE"""),"17日")</f>
        <v>17日</v>
      </c>
      <c r="D190" s="1270" t="str">
        <f>IFERROR(__xludf.DUMMYFUNCTION("""COMPUTED_VALUE"""),"口コミ")</f>
        <v>口コミ</v>
      </c>
      <c r="E190" s="1338"/>
      <c r="F190" s="1338"/>
      <c r="G190" s="1339" t="str">
        <f>IFERROR(__xludf.DUMMYFUNCTION("""COMPUTED_VALUE"""),"便座に尿のあと")</f>
        <v>便座に尿のあと</v>
      </c>
      <c r="H190" s="220"/>
      <c r="I190" s="220"/>
      <c r="J190" s="5"/>
      <c r="K190" s="1282"/>
      <c r="L190" s="1282"/>
      <c r="O190" s="1293"/>
      <c r="P190" s="1293"/>
      <c r="Q190" s="1293"/>
      <c r="R190" s="1293"/>
      <c r="S190" s="1293"/>
      <c r="T190" s="1293"/>
      <c r="U190" s="1293"/>
      <c r="W190" s="1293" t="str">
        <f>'🔵クレーム'!C181</f>
        <v/>
      </c>
      <c r="X190" s="1293" t="str">
        <f>'🔵クレーム'!D181</f>
        <v/>
      </c>
      <c r="Y190" s="1292" t="str">
        <f>'🔵クレーム'!I181</f>
        <v/>
      </c>
      <c r="Z190" s="1293" t="str">
        <f>'🔵クレーム'!J181</f>
        <v/>
      </c>
      <c r="AA190" s="1293" t="str">
        <f>'🔵クレーム'!K181</f>
        <v/>
      </c>
      <c r="AB190" s="1293" t="str">
        <f>'🔵クレーム'!L181</f>
        <v/>
      </c>
      <c r="AC190" s="1295" t="str">
        <f>'🔵クレーム'!N181</f>
        <v/>
      </c>
      <c r="AH190" s="274"/>
    </row>
    <row r="191">
      <c r="B191" s="1270" t="str">
        <f>IFERROR(__xludf.DUMMYFUNCTION("""COMPUTED_VALUE"""),"12月")</f>
        <v>12月</v>
      </c>
      <c r="C191" s="1270" t="str">
        <f>IFERROR(__xludf.DUMMYFUNCTION("""COMPUTED_VALUE"""),"19日")</f>
        <v>19日</v>
      </c>
      <c r="D191" s="1270" t="str">
        <f>IFERROR(__xludf.DUMMYFUNCTION("""COMPUTED_VALUE"""),"その他")</f>
        <v>その他</v>
      </c>
      <c r="E191" s="1338"/>
      <c r="F191" s="1338" t="str">
        <f>IFERROR(__xludf.DUMMYFUNCTION("""COMPUTED_VALUE"""),"マヤ")</f>
        <v>マヤ</v>
      </c>
      <c r="G191" s="1339" t="str">
        <f>IFERROR(__xludf.DUMMYFUNCTION("""COMPUTED_VALUE"""),"ノータッチ指示が出ていたが清掃してしまった。")</f>
        <v>ノータッチ指示が出ていたが清掃してしまった。</v>
      </c>
      <c r="H191" s="220"/>
      <c r="I191" s="220"/>
      <c r="J191" s="5"/>
      <c r="K191" s="1282"/>
      <c r="L191" s="1282"/>
      <c r="O191" s="1293"/>
      <c r="P191" s="1293"/>
      <c r="Q191" s="1293"/>
      <c r="R191" s="1293"/>
      <c r="S191" s="1293"/>
      <c r="T191" s="1293"/>
      <c r="U191" s="1293"/>
      <c r="W191" s="1293" t="str">
        <f>'🔵クレーム'!C182</f>
        <v/>
      </c>
      <c r="X191" s="1293" t="str">
        <f>'🔵クレーム'!D182</f>
        <v/>
      </c>
      <c r="Y191" s="1292" t="str">
        <f>'🔵クレーム'!I182</f>
        <v/>
      </c>
      <c r="Z191" s="1293" t="str">
        <f>'🔵クレーム'!J182</f>
        <v/>
      </c>
      <c r="AA191" s="1293" t="str">
        <f>'🔵クレーム'!K182</f>
        <v/>
      </c>
      <c r="AB191" s="1293" t="str">
        <f>'🔵クレーム'!L182</f>
        <v/>
      </c>
      <c r="AC191" s="1295" t="str">
        <f>'🔵クレーム'!N182</f>
        <v/>
      </c>
      <c r="AH191" s="274"/>
    </row>
    <row r="192">
      <c r="B192" s="1270" t="str">
        <f>IFERROR(__xludf.DUMMYFUNCTION("""COMPUTED_VALUE"""),"12月")</f>
        <v>12月</v>
      </c>
      <c r="C192" s="1270" t="str">
        <f>IFERROR(__xludf.DUMMYFUNCTION("""COMPUTED_VALUE"""),"24日")</f>
        <v>24日</v>
      </c>
      <c r="D192" s="1270" t="str">
        <f>IFERROR(__xludf.DUMMYFUNCTION("""COMPUTED_VALUE"""),"セット漏れ")</f>
        <v>セット漏れ</v>
      </c>
      <c r="E192" s="1338" t="str">
        <f>IFERROR(__xludf.DUMMYFUNCTION("""COMPUTED_VALUE"""),"ゴマ")</f>
        <v>ゴマ</v>
      </c>
      <c r="F192" s="1338" t="str">
        <f>IFERROR(__xludf.DUMMYFUNCTION("""COMPUTED_VALUE"""),"ジェイ")</f>
        <v>ジェイ</v>
      </c>
      <c r="G192" s="1339" t="str">
        <f>IFERROR(__xludf.DUMMYFUNCTION("""COMPUTED_VALUE"""),"スリッパ4セットの指示だったが2つしかなかった")</f>
        <v>スリッパ4セットの指示だったが2つしかなかった</v>
      </c>
      <c r="H192" s="220"/>
      <c r="I192" s="220"/>
      <c r="J192" s="5"/>
      <c r="K192" s="1282"/>
      <c r="L192" s="1282"/>
      <c r="O192" s="1293"/>
      <c r="P192" s="1293"/>
      <c r="Q192" s="1293"/>
      <c r="R192" s="1293"/>
      <c r="S192" s="1293"/>
      <c r="T192" s="1293"/>
      <c r="U192" s="1293"/>
      <c r="W192" s="1293" t="str">
        <f>'🔵クレーム'!C183</f>
        <v/>
      </c>
      <c r="X192" s="1293" t="str">
        <f>'🔵クレーム'!D183</f>
        <v/>
      </c>
      <c r="Y192" s="1292" t="str">
        <f>'🔵クレーム'!I183</f>
        <v/>
      </c>
      <c r="Z192" s="1293" t="str">
        <f>'🔵クレーム'!J183</f>
        <v/>
      </c>
      <c r="AA192" s="1293" t="str">
        <f>'🔵クレーム'!K183</f>
        <v/>
      </c>
      <c r="AB192" s="1293" t="str">
        <f>'🔵クレーム'!L183</f>
        <v/>
      </c>
      <c r="AC192" s="1295" t="str">
        <f>'🔵クレーム'!N183</f>
        <v/>
      </c>
      <c r="AH192" s="274"/>
    </row>
    <row r="193">
      <c r="B193" s="1270" t="str">
        <f>IFERROR(__xludf.DUMMYFUNCTION("""COMPUTED_VALUE"""),"12月")</f>
        <v>12月</v>
      </c>
      <c r="C193" s="1270" t="str">
        <f>IFERROR(__xludf.DUMMYFUNCTION("""COMPUTED_VALUE"""),"25日")</f>
        <v>25日</v>
      </c>
      <c r="D193" s="1270" t="str">
        <f>IFERROR(__xludf.DUMMYFUNCTION("""COMPUTED_VALUE"""),"汚れ")</f>
        <v>汚れ</v>
      </c>
      <c r="E193" s="1338" t="str">
        <f>IFERROR(__xludf.DUMMYFUNCTION("""COMPUTED_VALUE"""),"イラノ")</f>
        <v>イラノ</v>
      </c>
      <c r="F193" s="1338" t="str">
        <f>IFERROR(__xludf.DUMMYFUNCTION("""COMPUTED_VALUE"""),"サムジャナ")</f>
        <v>サムジャナ</v>
      </c>
      <c r="G193" s="1339" t="str">
        <f>IFERROR(__xludf.DUMMYFUNCTION("""COMPUTED_VALUE"""),"UB内に血がたれた跡がある")</f>
        <v>UB内に血がたれた跡がある</v>
      </c>
      <c r="H193" s="220"/>
      <c r="I193" s="220"/>
      <c r="J193" s="5"/>
      <c r="K193" s="1282"/>
      <c r="L193" s="1282"/>
      <c r="O193" s="1293"/>
      <c r="P193" s="1293"/>
      <c r="Q193" s="1293"/>
      <c r="R193" s="1293"/>
      <c r="S193" s="1293"/>
      <c r="T193" s="1293"/>
      <c r="U193" s="1293"/>
      <c r="W193" s="1293" t="str">
        <f>'🔵クレーム'!C184</f>
        <v/>
      </c>
      <c r="X193" s="1293" t="str">
        <f>'🔵クレーム'!D184</f>
        <v/>
      </c>
      <c r="Y193" s="1292" t="str">
        <f>'🔵クレーム'!I184</f>
        <v/>
      </c>
      <c r="Z193" s="1293" t="str">
        <f>'🔵クレーム'!J184</f>
        <v/>
      </c>
      <c r="AA193" s="1293" t="str">
        <f>'🔵クレーム'!K184</f>
        <v/>
      </c>
      <c r="AB193" s="1293" t="str">
        <f>'🔵クレーム'!L184</f>
        <v/>
      </c>
      <c r="AC193" s="1295" t="str">
        <f>'🔵クレーム'!N184</f>
        <v/>
      </c>
      <c r="AH193" s="274"/>
    </row>
    <row r="194">
      <c r="B194" s="1270" t="str">
        <f>IFERROR(__xludf.DUMMYFUNCTION("""COMPUTED_VALUE"""),"12月")</f>
        <v>12月</v>
      </c>
      <c r="C194" s="1270" t="str">
        <f>IFERROR(__xludf.DUMMYFUNCTION("""COMPUTED_VALUE"""),"26日")</f>
        <v>26日</v>
      </c>
      <c r="D194" s="1270" t="str">
        <f>IFERROR(__xludf.DUMMYFUNCTION("""COMPUTED_VALUE"""),"口コミ")</f>
        <v>口コミ</v>
      </c>
      <c r="E194" s="1338"/>
      <c r="F194" s="1338"/>
      <c r="G194" s="1339" t="str">
        <f>IFERROR(__xludf.DUMMYFUNCTION("""COMPUTED_VALUE"""),"ガウン臭い")</f>
        <v>ガウン臭い</v>
      </c>
      <c r="H194" s="220"/>
      <c r="I194" s="220"/>
      <c r="J194" s="5"/>
      <c r="K194" s="1282"/>
      <c r="L194" s="1282"/>
      <c r="O194" s="1293"/>
      <c r="P194" s="1293"/>
      <c r="Q194" s="1293"/>
      <c r="R194" s="1293"/>
      <c r="S194" s="1293"/>
      <c r="T194" s="1293"/>
      <c r="U194" s="1293"/>
      <c r="W194" s="1293" t="str">
        <f>'🔵クレーム'!C185</f>
        <v/>
      </c>
      <c r="X194" s="1293" t="str">
        <f>'🔵クレーム'!D185</f>
        <v/>
      </c>
      <c r="Y194" s="1292" t="str">
        <f>'🔵クレーム'!I185</f>
        <v/>
      </c>
      <c r="Z194" s="1293" t="str">
        <f>'🔵クレーム'!J185</f>
        <v/>
      </c>
      <c r="AA194" s="1293" t="str">
        <f>'🔵クレーム'!K185</f>
        <v/>
      </c>
      <c r="AB194" s="1293" t="str">
        <f>'🔵クレーム'!L185</f>
        <v/>
      </c>
      <c r="AC194" s="1295" t="str">
        <f>'🔵クレーム'!N185</f>
        <v/>
      </c>
      <c r="AH194" s="274"/>
    </row>
    <row r="195">
      <c r="B195" s="1270" t="str">
        <f>IFERROR(__xludf.DUMMYFUNCTION("""COMPUTED_VALUE"""),"12月")</f>
        <v>12月</v>
      </c>
      <c r="C195" s="1270" t="str">
        <f>IFERROR(__xludf.DUMMYFUNCTION("""COMPUTED_VALUE"""),"28日")</f>
        <v>28日</v>
      </c>
      <c r="D195" s="1270" t="str">
        <f>IFERROR(__xludf.DUMMYFUNCTION("""COMPUTED_VALUE"""),"口コミ")</f>
        <v>口コミ</v>
      </c>
      <c r="E195" s="1338"/>
      <c r="F195" s="1338"/>
      <c r="G195" s="1339" t="str">
        <f>IFERROR(__xludf.DUMMYFUNCTION("""COMPUTED_VALUE"""),"ガウン臭い")</f>
        <v>ガウン臭い</v>
      </c>
      <c r="H195" s="220"/>
      <c r="I195" s="220"/>
      <c r="J195" s="5"/>
      <c r="K195" s="1282"/>
      <c r="L195" s="1282"/>
      <c r="O195" s="1293"/>
      <c r="P195" s="1293"/>
      <c r="Q195" s="1293"/>
      <c r="R195" s="1293"/>
      <c r="S195" s="1293"/>
      <c r="T195" s="1293"/>
      <c r="U195" s="1293"/>
      <c r="W195" s="1293" t="str">
        <f>'🔵クレーム'!C186</f>
        <v/>
      </c>
      <c r="X195" s="1293" t="str">
        <f>'🔵クレーム'!D186</f>
        <v/>
      </c>
      <c r="Y195" s="1292" t="str">
        <f>'🔵クレーム'!I186</f>
        <v/>
      </c>
      <c r="Z195" s="1293" t="str">
        <f>'🔵クレーム'!J186</f>
        <v/>
      </c>
      <c r="AA195" s="1293" t="str">
        <f>'🔵クレーム'!K186</f>
        <v/>
      </c>
      <c r="AB195" s="1293" t="str">
        <f>'🔵クレーム'!L186</f>
        <v/>
      </c>
      <c r="AC195" s="1295" t="str">
        <f>'🔵クレーム'!N186</f>
        <v/>
      </c>
      <c r="AH195" s="274"/>
    </row>
    <row r="196">
      <c r="B196" s="1270" t="str">
        <f>IFERROR(__xludf.DUMMYFUNCTION("""COMPUTED_VALUE"""),"12月")</f>
        <v>12月</v>
      </c>
      <c r="C196" s="1270" t="str">
        <f>IFERROR(__xludf.DUMMYFUNCTION("""COMPUTED_VALUE"""),"31日")</f>
        <v>31日</v>
      </c>
      <c r="D196" s="1270" t="str">
        <f>IFERROR(__xludf.DUMMYFUNCTION("""COMPUTED_VALUE"""),"口コミ")</f>
        <v>口コミ</v>
      </c>
      <c r="E196" s="1338"/>
      <c r="F196" s="1338"/>
      <c r="G196" s="1339" t="str">
        <f>IFERROR(__xludf.DUMMYFUNCTION("""COMPUTED_VALUE"""),"ホテル臭い")</f>
        <v>ホテル臭い</v>
      </c>
      <c r="H196" s="220"/>
      <c r="I196" s="220"/>
      <c r="J196" s="5"/>
      <c r="K196" s="1282"/>
      <c r="L196" s="1282"/>
      <c r="O196" s="1293"/>
      <c r="P196" s="1293"/>
      <c r="Q196" s="1293"/>
      <c r="R196" s="1293"/>
      <c r="S196" s="1293"/>
      <c r="T196" s="1293"/>
      <c r="U196" s="1293"/>
      <c r="W196" s="1293" t="str">
        <f>'🔵クレーム'!C187</f>
        <v/>
      </c>
      <c r="X196" s="1293" t="str">
        <f>'🔵クレーム'!D187</f>
        <v/>
      </c>
      <c r="Y196" s="1292" t="str">
        <f>'🔵クレーム'!I187</f>
        <v/>
      </c>
      <c r="Z196" s="1293" t="str">
        <f>'🔵クレーム'!J187</f>
        <v/>
      </c>
      <c r="AA196" s="1293" t="str">
        <f>'🔵クレーム'!K187</f>
        <v/>
      </c>
      <c r="AB196" s="1293" t="str">
        <f>'🔵クレーム'!L187</f>
        <v/>
      </c>
      <c r="AC196" s="1295" t="str">
        <f>'🔵クレーム'!N187</f>
        <v/>
      </c>
      <c r="AH196" s="274"/>
    </row>
    <row r="197">
      <c r="B197" s="1270" t="str">
        <f>IFERROR(__xludf.DUMMYFUNCTION("""COMPUTED_VALUE"""),"1月")</f>
        <v>1月</v>
      </c>
      <c r="C197" s="1270" t="str">
        <f>IFERROR(__xludf.DUMMYFUNCTION("""COMPUTED_VALUE"""),"4日")</f>
        <v>4日</v>
      </c>
      <c r="D197" s="1270" t="str">
        <f>IFERROR(__xludf.DUMMYFUNCTION("""COMPUTED_VALUE"""),"セット漏れ")</f>
        <v>セット漏れ</v>
      </c>
      <c r="E197" s="1338" t="str">
        <f>IFERROR(__xludf.DUMMYFUNCTION("""COMPUTED_VALUE"""),"エマ")</f>
        <v>エマ</v>
      </c>
      <c r="F197" s="1338"/>
      <c r="G197" s="1339" t="str">
        <f>IFERROR(__xludf.DUMMYFUNCTION("""COMPUTED_VALUE"""),"シャワーカーテンなかった")</f>
        <v>シャワーカーテンなかった</v>
      </c>
      <c r="H197" s="220"/>
      <c r="I197" s="220"/>
      <c r="J197" s="5"/>
      <c r="K197" s="1282"/>
      <c r="L197" s="1282"/>
      <c r="O197" s="1293"/>
      <c r="P197" s="1293"/>
      <c r="Q197" s="1293"/>
      <c r="R197" s="1293"/>
      <c r="S197" s="1293"/>
      <c r="T197" s="1293"/>
      <c r="U197" s="1293"/>
      <c r="W197" s="1293" t="str">
        <f>'🔵クレーム'!C188</f>
        <v/>
      </c>
      <c r="X197" s="1293" t="str">
        <f>'🔵クレーム'!D188</f>
        <v/>
      </c>
      <c r="Y197" s="1292" t="str">
        <f>'🔵クレーム'!I188</f>
        <v/>
      </c>
      <c r="Z197" s="1293" t="str">
        <f>'🔵クレーム'!J188</f>
        <v/>
      </c>
      <c r="AA197" s="1293" t="str">
        <f>'🔵クレーム'!K188</f>
        <v/>
      </c>
      <c r="AB197" s="1293" t="str">
        <f>'🔵クレーム'!L188</f>
        <v/>
      </c>
      <c r="AC197" s="1295" t="str">
        <f>'🔵クレーム'!N188</f>
        <v/>
      </c>
      <c r="AH197" s="274"/>
    </row>
    <row r="198">
      <c r="B198" s="1270" t="str">
        <f>IFERROR(__xludf.DUMMYFUNCTION("""COMPUTED_VALUE"""),"1月")</f>
        <v>1月</v>
      </c>
      <c r="C198" s="1270" t="str">
        <f>IFERROR(__xludf.DUMMYFUNCTION("""COMPUTED_VALUE"""),"4日")</f>
        <v>4日</v>
      </c>
      <c r="D198" s="1270" t="str">
        <f>IFERROR(__xludf.DUMMYFUNCTION("""COMPUTED_VALUE"""),"口コミ")</f>
        <v>口コミ</v>
      </c>
      <c r="E198" s="1338"/>
      <c r="F198" s="1338"/>
      <c r="G198" s="1339" t="str">
        <f>IFERROR(__xludf.DUMMYFUNCTION("""COMPUTED_VALUE"""),"喫煙部屋にタバコ臭がある")</f>
        <v>喫煙部屋にタバコ臭がある</v>
      </c>
      <c r="H198" s="220"/>
      <c r="I198" s="220"/>
      <c r="J198" s="5"/>
      <c r="K198" s="1282"/>
      <c r="L198" s="1282"/>
      <c r="O198" s="1293"/>
      <c r="P198" s="1293"/>
      <c r="Q198" s="1293"/>
      <c r="R198" s="1293"/>
      <c r="S198" s="1293"/>
      <c r="T198" s="1293"/>
      <c r="U198" s="1293"/>
      <c r="W198" s="1293" t="str">
        <f>'🔵クレーム'!C189</f>
        <v/>
      </c>
      <c r="X198" s="1293" t="str">
        <f>'🔵クレーム'!D189</f>
        <v/>
      </c>
      <c r="Y198" s="1292" t="str">
        <f>'🔵クレーム'!I189</f>
        <v/>
      </c>
      <c r="Z198" s="1293" t="str">
        <f>'🔵クレーム'!J189</f>
        <v/>
      </c>
      <c r="AA198" s="1293" t="str">
        <f>'🔵クレーム'!K189</f>
        <v/>
      </c>
      <c r="AB198" s="1293" t="str">
        <f>'🔵クレーム'!L189</f>
        <v/>
      </c>
      <c r="AC198" s="1295" t="str">
        <f>'🔵クレーム'!N189</f>
        <v/>
      </c>
      <c r="AH198" s="274"/>
    </row>
    <row r="199">
      <c r="B199" s="1270" t="str">
        <f>IFERROR(__xludf.DUMMYFUNCTION("""COMPUTED_VALUE"""),"1月")</f>
        <v>1月</v>
      </c>
      <c r="C199" s="1270" t="str">
        <f>IFERROR(__xludf.DUMMYFUNCTION("""COMPUTED_VALUE"""),"6日")</f>
        <v>6日</v>
      </c>
      <c r="D199" s="1270" t="str">
        <f>IFERROR(__xludf.DUMMYFUNCTION("""COMPUTED_VALUE"""),"セット漏れ")</f>
        <v>セット漏れ</v>
      </c>
      <c r="E199" s="1338" t="str">
        <f>IFERROR(__xludf.DUMMYFUNCTION("""COMPUTED_VALUE"""),"谷口")</f>
        <v>谷口</v>
      </c>
      <c r="F199" s="1338" t="str">
        <f>IFERROR(__xludf.DUMMYFUNCTION("""COMPUTED_VALUE"""),"プスカル")</f>
        <v>プスカル</v>
      </c>
      <c r="G199" s="1339" t="str">
        <f>IFERROR(__xludf.DUMMYFUNCTION("""COMPUTED_VALUE"""),"ハンガーがなかった。")</f>
        <v>ハンガーがなかった。</v>
      </c>
      <c r="H199" s="220"/>
      <c r="I199" s="220"/>
      <c r="J199" s="5"/>
      <c r="K199" s="1282"/>
      <c r="L199" s="1282"/>
      <c r="O199" s="1293"/>
      <c r="P199" s="1293"/>
      <c r="Q199" s="1293"/>
      <c r="R199" s="1293"/>
      <c r="S199" s="1293"/>
      <c r="T199" s="1293"/>
      <c r="U199" s="1293"/>
      <c r="W199" s="1293" t="str">
        <f>'🔵クレーム'!C190</f>
        <v/>
      </c>
      <c r="X199" s="1293" t="str">
        <f>'🔵クレーム'!D190</f>
        <v/>
      </c>
      <c r="Y199" s="1292" t="str">
        <f>'🔵クレーム'!I190</f>
        <v/>
      </c>
      <c r="Z199" s="1293" t="str">
        <f>'🔵クレーム'!J190</f>
        <v/>
      </c>
      <c r="AA199" s="1293" t="str">
        <f>'🔵クレーム'!K190</f>
        <v/>
      </c>
      <c r="AB199" s="1293" t="str">
        <f>'🔵クレーム'!L190</f>
        <v/>
      </c>
      <c r="AC199" s="1295" t="str">
        <f>'🔵クレーム'!N190</f>
        <v/>
      </c>
      <c r="AH199" s="274"/>
    </row>
    <row r="200">
      <c r="B200" s="1270" t="str">
        <f>IFERROR(__xludf.DUMMYFUNCTION("""COMPUTED_VALUE"""),"1月")</f>
        <v>1月</v>
      </c>
      <c r="C200" s="1270" t="str">
        <f>IFERROR(__xludf.DUMMYFUNCTION("""COMPUTED_VALUE"""),"10日")</f>
        <v>10日</v>
      </c>
      <c r="D200" s="1270" t="str">
        <f>IFERROR(__xludf.DUMMYFUNCTION("""COMPUTED_VALUE"""),"残置")</f>
        <v>残置</v>
      </c>
      <c r="E200" s="1338" t="str">
        <f>IFERROR(__xludf.DUMMYFUNCTION("""COMPUTED_VALUE"""),"ラジタ")</f>
        <v>ラジタ</v>
      </c>
      <c r="F200" s="1338" t="str">
        <f>IFERROR(__xludf.DUMMYFUNCTION("""COMPUTED_VALUE"""),"カビタ")</f>
        <v>カビタ</v>
      </c>
      <c r="G200" s="1339" t="str">
        <f>IFERROR(__xludf.DUMMYFUNCTION("""COMPUTED_VALUE"""),"使用済みの歯ブラシがあった。")</f>
        <v>使用済みの歯ブラシがあった。</v>
      </c>
      <c r="H200" s="220"/>
      <c r="I200" s="220"/>
      <c r="J200" s="5"/>
      <c r="K200" s="1282"/>
      <c r="L200" s="1282"/>
      <c r="O200" s="1293"/>
      <c r="P200" s="1293"/>
      <c r="Q200" s="1293"/>
      <c r="R200" s="1293"/>
      <c r="S200" s="1293"/>
      <c r="T200" s="1293"/>
      <c r="U200" s="1293"/>
      <c r="W200" s="1293" t="str">
        <f>'🔵クレーム'!C191</f>
        <v/>
      </c>
      <c r="X200" s="1293" t="str">
        <f>'🔵クレーム'!D191</f>
        <v/>
      </c>
      <c r="Y200" s="1292" t="str">
        <f>'🔵クレーム'!I191</f>
        <v/>
      </c>
      <c r="Z200" s="1293" t="str">
        <f>'🔵クレーム'!J191</f>
        <v/>
      </c>
      <c r="AA200" s="1293" t="str">
        <f>'🔵クレーム'!K191</f>
        <v/>
      </c>
      <c r="AB200" s="1293" t="str">
        <f>'🔵クレーム'!L191</f>
        <v/>
      </c>
      <c r="AC200" s="1295" t="str">
        <f>'🔵クレーム'!N191</f>
        <v/>
      </c>
      <c r="AH200" s="274"/>
    </row>
    <row r="201">
      <c r="B201" s="1270" t="str">
        <f>IFERROR(__xludf.DUMMYFUNCTION("""COMPUTED_VALUE"""),"1月")</f>
        <v>1月</v>
      </c>
      <c r="C201" s="1270" t="str">
        <f>IFERROR(__xludf.DUMMYFUNCTION("""COMPUTED_VALUE"""),"15日")</f>
        <v>15日</v>
      </c>
      <c r="D201" s="1270" t="str">
        <f>IFERROR(__xludf.DUMMYFUNCTION("""COMPUTED_VALUE"""),"その他")</f>
        <v>その他</v>
      </c>
      <c r="E201" s="1338"/>
      <c r="F201" s="1338" t="str">
        <f>IFERROR(__xludf.DUMMYFUNCTION("""COMPUTED_VALUE"""),"ビマラ")</f>
        <v>ビマラ</v>
      </c>
      <c r="G201" s="1339" t="str">
        <f>IFERROR(__xludf.DUMMYFUNCTION("""COMPUTED_VALUE"""),"ボディソープ・コンディショナーのボトルがなかった。")</f>
        <v>ボディソープ・コンディショナーのボトルがなかった。</v>
      </c>
      <c r="H201" s="220"/>
      <c r="I201" s="220"/>
      <c r="J201" s="5"/>
      <c r="K201" s="1282"/>
      <c r="L201" s="1282"/>
      <c r="O201" s="1293"/>
      <c r="P201" s="1293"/>
      <c r="Q201" s="1293"/>
      <c r="R201" s="1293"/>
      <c r="S201" s="1293"/>
      <c r="T201" s="1293"/>
      <c r="U201" s="1293"/>
      <c r="W201" s="1293" t="str">
        <f>'🔵クレーム'!C192</f>
        <v/>
      </c>
      <c r="X201" s="1293" t="str">
        <f>'🔵クレーム'!D192</f>
        <v/>
      </c>
      <c r="Y201" s="1292" t="str">
        <f>'🔵クレーム'!I192</f>
        <v/>
      </c>
      <c r="Z201" s="1293" t="str">
        <f>'🔵クレーム'!J192</f>
        <v/>
      </c>
      <c r="AA201" s="1293" t="str">
        <f>'🔵クレーム'!K192</f>
        <v/>
      </c>
      <c r="AB201" s="1293" t="str">
        <f>'🔵クレーム'!L192</f>
        <v/>
      </c>
      <c r="AC201" s="1295" t="str">
        <f>'🔵クレーム'!N192</f>
        <v/>
      </c>
      <c r="AH201" s="274"/>
    </row>
    <row r="202">
      <c r="B202" s="1270" t="str">
        <f>IFERROR(__xludf.DUMMYFUNCTION("""COMPUTED_VALUE"""),"1月")</f>
        <v>1月</v>
      </c>
      <c r="C202" s="1270" t="str">
        <f>IFERROR(__xludf.DUMMYFUNCTION("""COMPUTED_VALUE"""),"17日")</f>
        <v>17日</v>
      </c>
      <c r="D202" s="1270" t="str">
        <f>IFERROR(__xludf.DUMMYFUNCTION("""COMPUTED_VALUE"""),"口コミ")</f>
        <v>口コミ</v>
      </c>
      <c r="E202" s="1338"/>
      <c r="F202" s="1338"/>
      <c r="G202" s="1339" t="str">
        <f>IFERROR(__xludf.DUMMYFUNCTION("""COMPUTED_VALUE"""),"ガウン少し臭った")</f>
        <v>ガウン少し臭った</v>
      </c>
      <c r="H202" s="220"/>
      <c r="I202" s="220"/>
      <c r="J202" s="5"/>
      <c r="K202" s="1282"/>
      <c r="L202" s="1282"/>
      <c r="O202" s="1293"/>
      <c r="P202" s="1293"/>
      <c r="Q202" s="1293"/>
      <c r="R202" s="1293"/>
      <c r="S202" s="1293"/>
      <c r="T202" s="1293"/>
      <c r="U202" s="1293"/>
      <c r="W202" s="1293" t="str">
        <f>'🔵クレーム'!C193</f>
        <v/>
      </c>
      <c r="X202" s="1293" t="str">
        <f>'🔵クレーム'!D193</f>
        <v/>
      </c>
      <c r="Y202" s="1292" t="str">
        <f>'🔵クレーム'!I193</f>
        <v/>
      </c>
      <c r="Z202" s="1293" t="str">
        <f>'🔵クレーム'!J193</f>
        <v/>
      </c>
      <c r="AA202" s="1293" t="str">
        <f>'🔵クレーム'!K193</f>
        <v/>
      </c>
      <c r="AB202" s="1293" t="str">
        <f>'🔵クレーム'!L193</f>
        <v/>
      </c>
      <c r="AC202" s="1295" t="str">
        <f>'🔵クレーム'!N193</f>
        <v/>
      </c>
      <c r="AH202" s="274"/>
    </row>
    <row r="203">
      <c r="B203" s="1270" t="str">
        <f>IFERROR(__xludf.DUMMYFUNCTION("""COMPUTED_VALUE"""),"1月")</f>
        <v>1月</v>
      </c>
      <c r="C203" s="1270" t="str">
        <f>IFERROR(__xludf.DUMMYFUNCTION("""COMPUTED_VALUE"""),"17日")</f>
        <v>17日</v>
      </c>
      <c r="D203" s="1270" t="str">
        <f>IFERROR(__xludf.DUMMYFUNCTION("""COMPUTED_VALUE"""),"その他")</f>
        <v>その他</v>
      </c>
      <c r="E203" s="1338"/>
      <c r="F203" s="1338" t="str">
        <f>IFERROR(__xludf.DUMMYFUNCTION("""COMPUTED_VALUE"""),"サンティ")</f>
        <v>サンティ</v>
      </c>
      <c r="G203" s="1339" t="str">
        <f>IFERROR(__xludf.DUMMYFUNCTION("""COMPUTED_VALUE"""),"備品のタオルに巻いたままにしていた化粧品がない")</f>
        <v>備品のタオルに巻いたままにしていた化粧品がない</v>
      </c>
      <c r="H203" s="220"/>
      <c r="I203" s="220"/>
      <c r="J203" s="5"/>
      <c r="K203" s="1282"/>
      <c r="L203" s="1282"/>
      <c r="O203" s="1293"/>
      <c r="P203" s="1293"/>
      <c r="Q203" s="1293"/>
      <c r="R203" s="1293"/>
      <c r="S203" s="1293"/>
      <c r="T203" s="1293"/>
      <c r="U203" s="1293"/>
      <c r="W203" s="1293" t="str">
        <f>'🔵クレーム'!C194</f>
        <v/>
      </c>
      <c r="X203" s="1293" t="str">
        <f>'🔵クレーム'!D194</f>
        <v/>
      </c>
      <c r="Y203" s="1292" t="str">
        <f>'🔵クレーム'!I194</f>
        <v/>
      </c>
      <c r="Z203" s="1293" t="str">
        <f>'🔵クレーム'!J194</f>
        <v/>
      </c>
      <c r="AA203" s="1293" t="str">
        <f>'🔵クレーム'!K194</f>
        <v/>
      </c>
      <c r="AB203" s="1293" t="str">
        <f>'🔵クレーム'!L194</f>
        <v/>
      </c>
      <c r="AC203" s="1295" t="str">
        <f>'🔵クレーム'!N194</f>
        <v/>
      </c>
      <c r="AH203" s="274"/>
    </row>
    <row r="204">
      <c r="B204" s="1270" t="str">
        <f>IFERROR(__xludf.DUMMYFUNCTION("""COMPUTED_VALUE"""),"1月")</f>
        <v>1月</v>
      </c>
      <c r="C204" s="1270" t="str">
        <f>IFERROR(__xludf.DUMMYFUNCTION("""COMPUTED_VALUE"""),"22日")</f>
        <v>22日</v>
      </c>
      <c r="D204" s="1270" t="str">
        <f>IFERROR(__xludf.DUMMYFUNCTION("""COMPUTED_VALUE"""),"その他")</f>
        <v>その他</v>
      </c>
      <c r="E204" s="1338"/>
      <c r="F204" s="1338" t="str">
        <f>IFERROR(__xludf.DUMMYFUNCTION("""COMPUTED_VALUE"""),"スニタ")</f>
        <v>スニタ</v>
      </c>
      <c r="G204" s="1339" t="str">
        <f>IFERROR(__xludf.DUMMYFUNCTION("""COMPUTED_VALUE"""),"連泊清掃がさていなかった")</f>
        <v>連泊清掃がさていなかった</v>
      </c>
      <c r="H204" s="220"/>
      <c r="I204" s="220"/>
      <c r="J204" s="5"/>
      <c r="K204" s="1282"/>
      <c r="L204" s="1282"/>
      <c r="O204" s="1293"/>
      <c r="P204" s="1293"/>
      <c r="Q204" s="1293"/>
      <c r="R204" s="1293"/>
      <c r="S204" s="1293"/>
      <c r="T204" s="1293"/>
      <c r="U204" s="1293"/>
      <c r="W204" s="1293" t="str">
        <f>'🔵クレーム'!C195</f>
        <v/>
      </c>
      <c r="X204" s="1293" t="str">
        <f>'🔵クレーム'!D195</f>
        <v/>
      </c>
      <c r="Y204" s="1292" t="str">
        <f>'🔵クレーム'!I195</f>
        <v/>
      </c>
      <c r="Z204" s="1293" t="str">
        <f>'🔵クレーム'!J195</f>
        <v/>
      </c>
      <c r="AA204" s="1293" t="str">
        <f>'🔵クレーム'!K195</f>
        <v/>
      </c>
      <c r="AB204" s="1293" t="str">
        <f>'🔵クレーム'!L195</f>
        <v/>
      </c>
      <c r="AC204" s="1295" t="str">
        <f>'🔵クレーム'!N195</f>
        <v/>
      </c>
      <c r="AH204" s="274"/>
    </row>
    <row r="205">
      <c r="B205" s="1270" t="str">
        <f>IFERROR(__xludf.DUMMYFUNCTION("""COMPUTED_VALUE"""),"1月")</f>
        <v>1月</v>
      </c>
      <c r="C205" s="1270" t="str">
        <f>IFERROR(__xludf.DUMMYFUNCTION("""COMPUTED_VALUE"""),"28日")</f>
        <v>28日</v>
      </c>
      <c r="D205" s="1270" t="str">
        <f>IFERROR(__xludf.DUMMYFUNCTION("""COMPUTED_VALUE"""),"残置")</f>
        <v>残置</v>
      </c>
      <c r="E205" s="1338" t="str">
        <f>IFERROR(__xludf.DUMMYFUNCTION("""COMPUTED_VALUE"""),"ディパク")</f>
        <v>ディパク</v>
      </c>
      <c r="F205" s="1338" t="str">
        <f>IFERROR(__xludf.DUMMYFUNCTION("""COMPUTED_VALUE"""),"サンデア")</f>
        <v>サンデア</v>
      </c>
      <c r="G205" s="1339" t="str">
        <f>IFERROR(__xludf.DUMMYFUNCTION("""COMPUTED_VALUE"""),"前泊者のガウンがクローゼット内にあった")</f>
        <v>前泊者のガウンがクローゼット内にあった</v>
      </c>
      <c r="H205" s="220"/>
      <c r="I205" s="220"/>
      <c r="J205" s="5"/>
      <c r="K205" s="1282"/>
      <c r="L205" s="1282"/>
      <c r="O205" s="1293"/>
      <c r="P205" s="1293"/>
      <c r="Q205" s="1293"/>
      <c r="R205" s="1293"/>
      <c r="S205" s="1293"/>
      <c r="T205" s="1293"/>
      <c r="U205" s="1293"/>
      <c r="W205" s="1293" t="str">
        <f>'🔵クレーム'!C196</f>
        <v/>
      </c>
      <c r="X205" s="1293" t="str">
        <f>'🔵クレーム'!D196</f>
        <v/>
      </c>
      <c r="Y205" s="1292" t="str">
        <f>'🔵クレーム'!I196</f>
        <v/>
      </c>
      <c r="Z205" s="1293" t="str">
        <f>'🔵クレーム'!J196</f>
        <v/>
      </c>
      <c r="AA205" s="1293" t="str">
        <f>'🔵クレーム'!K196</f>
        <v/>
      </c>
      <c r="AB205" s="1293" t="str">
        <f>'🔵クレーム'!L196</f>
        <v/>
      </c>
      <c r="AC205" s="1295" t="str">
        <f>'🔵クレーム'!N196</f>
        <v/>
      </c>
      <c r="AH205" s="274"/>
    </row>
    <row r="206">
      <c r="B206" s="1270" t="str">
        <f>IFERROR(__xludf.DUMMYFUNCTION("""COMPUTED_VALUE"""),"1月")</f>
        <v>1月</v>
      </c>
      <c r="C206" s="1270" t="str">
        <f>IFERROR(__xludf.DUMMYFUNCTION("""COMPUTED_VALUE"""),"29日")</f>
        <v>29日</v>
      </c>
      <c r="D206" s="1270" t="str">
        <f>IFERROR(__xludf.DUMMYFUNCTION("""COMPUTED_VALUE"""),"髪の毛")</f>
        <v>髪の毛</v>
      </c>
      <c r="E206" s="1338"/>
      <c r="F206" s="1338" t="str">
        <f>IFERROR(__xludf.DUMMYFUNCTION("""COMPUTED_VALUE"""),"ススマ")</f>
        <v>ススマ</v>
      </c>
      <c r="G206" s="1339" t="str">
        <f>IFERROR(__xludf.DUMMYFUNCTION("""COMPUTED_VALUE"""),"枕に髪の毛ついていた")</f>
        <v>枕に髪の毛ついていた</v>
      </c>
      <c r="H206" s="220"/>
      <c r="I206" s="220"/>
      <c r="J206" s="5"/>
      <c r="K206" s="1282"/>
      <c r="L206" s="1282"/>
      <c r="O206" s="1293"/>
      <c r="P206" s="1293"/>
      <c r="Q206" s="1293"/>
      <c r="R206" s="1293"/>
      <c r="S206" s="1293"/>
      <c r="T206" s="1293"/>
      <c r="U206" s="1293"/>
      <c r="W206" s="1293" t="str">
        <f>'🔵クレーム'!C197</f>
        <v/>
      </c>
      <c r="X206" s="1293" t="str">
        <f>'🔵クレーム'!D197</f>
        <v/>
      </c>
      <c r="Y206" s="1292" t="str">
        <f>'🔵クレーム'!I197</f>
        <v/>
      </c>
      <c r="Z206" s="1293" t="str">
        <f>'🔵クレーム'!J197</f>
        <v/>
      </c>
      <c r="AA206" s="1293" t="str">
        <f>'🔵クレーム'!K197</f>
        <v/>
      </c>
      <c r="AB206" s="1293" t="str">
        <f>'🔵クレーム'!L197</f>
        <v/>
      </c>
      <c r="AC206" s="1295" t="str">
        <f>'🔵クレーム'!N197</f>
        <v/>
      </c>
      <c r="AH206" s="274"/>
    </row>
    <row r="207">
      <c r="B207" s="1270"/>
      <c r="C207" s="1270"/>
      <c r="D207" s="1270"/>
      <c r="E207" s="1338"/>
      <c r="F207" s="1338"/>
      <c r="G207" s="1339"/>
      <c r="H207" s="220"/>
      <c r="I207" s="220"/>
      <c r="J207" s="5"/>
      <c r="K207" s="1282"/>
      <c r="L207" s="1282"/>
      <c r="O207" s="1293"/>
      <c r="P207" s="1293"/>
      <c r="Q207" s="1293"/>
      <c r="R207" s="1293"/>
      <c r="S207" s="1293"/>
      <c r="T207" s="1293"/>
      <c r="U207" s="1293"/>
      <c r="W207" s="1293" t="str">
        <f>'🔵クレーム'!C198</f>
        <v/>
      </c>
      <c r="X207" s="1293" t="str">
        <f>'🔵クレーム'!D198</f>
        <v/>
      </c>
      <c r="Y207" s="1292" t="str">
        <f>'🔵クレーム'!I198</f>
        <v/>
      </c>
      <c r="Z207" s="1293" t="str">
        <f>'🔵クレーム'!J198</f>
        <v/>
      </c>
      <c r="AA207" s="1293" t="str">
        <f>'🔵クレーム'!K198</f>
        <v/>
      </c>
      <c r="AB207" s="1293" t="str">
        <f>'🔵クレーム'!L198</f>
        <v/>
      </c>
      <c r="AC207" s="1295" t="str">
        <f>'🔵クレーム'!N198</f>
        <v/>
      </c>
      <c r="AH207" s="274"/>
    </row>
    <row r="208">
      <c r="B208" s="1270"/>
      <c r="C208" s="1270"/>
      <c r="D208" s="1270"/>
      <c r="E208" s="1338"/>
      <c r="F208" s="1338"/>
      <c r="G208" s="1339"/>
      <c r="H208" s="220"/>
      <c r="I208" s="220"/>
      <c r="J208" s="5"/>
      <c r="K208" s="1282"/>
      <c r="L208" s="1282"/>
      <c r="O208" s="1293"/>
      <c r="P208" s="1293"/>
      <c r="Q208" s="1293"/>
      <c r="R208" s="1293"/>
      <c r="S208" s="1293"/>
      <c r="T208" s="1293"/>
      <c r="U208" s="1293"/>
      <c r="W208" s="1293" t="str">
        <f>'🔵クレーム'!C199</f>
        <v/>
      </c>
      <c r="X208" s="1293" t="str">
        <f>'🔵クレーム'!D199</f>
        <v/>
      </c>
      <c r="Y208" s="1292" t="str">
        <f>'🔵クレーム'!I199</f>
        <v/>
      </c>
      <c r="Z208" s="1293" t="str">
        <f>'🔵クレーム'!J199</f>
        <v/>
      </c>
      <c r="AA208" s="1293" t="str">
        <f>'🔵クレーム'!K199</f>
        <v/>
      </c>
      <c r="AB208" s="1293" t="str">
        <f>'🔵クレーム'!L199</f>
        <v/>
      </c>
      <c r="AC208" s="1295" t="str">
        <f>'🔵クレーム'!N199</f>
        <v/>
      </c>
      <c r="AH208" s="274"/>
    </row>
    <row r="209">
      <c r="B209" s="1270"/>
      <c r="C209" s="1270"/>
      <c r="D209" s="1270"/>
      <c r="E209" s="1338"/>
      <c r="F209" s="1338"/>
      <c r="G209" s="1339"/>
      <c r="H209" s="220"/>
      <c r="I209" s="220"/>
      <c r="J209" s="5"/>
      <c r="K209" s="1282"/>
      <c r="L209" s="1282"/>
      <c r="O209" s="1293"/>
      <c r="P209" s="1293"/>
      <c r="Q209" s="1293"/>
      <c r="R209" s="1293"/>
      <c r="S209" s="1293"/>
      <c r="T209" s="1293"/>
      <c r="U209" s="1293"/>
      <c r="W209" s="1293" t="str">
        <f>'🔵クレーム'!C200</f>
        <v/>
      </c>
      <c r="X209" s="1293" t="str">
        <f>'🔵クレーム'!D200</f>
        <v/>
      </c>
      <c r="Y209" s="1292" t="str">
        <f>'🔵クレーム'!I200</f>
        <v/>
      </c>
      <c r="Z209" s="1293" t="str">
        <f>'🔵クレーム'!J200</f>
        <v/>
      </c>
      <c r="AA209" s="1293" t="str">
        <f>'🔵クレーム'!K200</f>
        <v/>
      </c>
      <c r="AB209" s="1293" t="str">
        <f>'🔵クレーム'!L200</f>
        <v/>
      </c>
      <c r="AC209" s="1295" t="str">
        <f>'🔵クレーム'!N200</f>
        <v/>
      </c>
      <c r="AH209" s="274"/>
    </row>
    <row r="210">
      <c r="B210" s="1270"/>
      <c r="C210" s="1270"/>
      <c r="D210" s="1270"/>
      <c r="E210" s="1338"/>
      <c r="F210" s="1338"/>
      <c r="G210" s="1339"/>
      <c r="H210" s="220"/>
      <c r="I210" s="220"/>
      <c r="J210" s="5"/>
      <c r="K210" s="1282"/>
      <c r="L210" s="1282"/>
      <c r="O210" s="1293"/>
      <c r="P210" s="1293"/>
      <c r="Q210" s="1293"/>
      <c r="R210" s="1293"/>
      <c r="S210" s="1293"/>
      <c r="T210" s="1293"/>
      <c r="U210" s="1293"/>
      <c r="W210" s="1293" t="str">
        <f>'🔵クレーム'!C201</f>
        <v/>
      </c>
      <c r="X210" s="1293" t="str">
        <f>'🔵クレーム'!D201</f>
        <v/>
      </c>
      <c r="Y210" s="1292" t="str">
        <f>'🔵クレーム'!I201</f>
        <v/>
      </c>
      <c r="Z210" s="1293" t="str">
        <f>'🔵クレーム'!J201</f>
        <v/>
      </c>
      <c r="AA210" s="1293" t="str">
        <f>'🔵クレーム'!K201</f>
        <v/>
      </c>
      <c r="AB210" s="1293" t="str">
        <f>'🔵クレーム'!L201</f>
        <v/>
      </c>
      <c r="AC210" s="1295" t="str">
        <f>'🔵クレーム'!N201</f>
        <v/>
      </c>
      <c r="AH210" s="274"/>
    </row>
    <row r="211">
      <c r="B211" s="1270"/>
      <c r="C211" s="1270"/>
      <c r="D211" s="1270"/>
      <c r="E211" s="1338"/>
      <c r="F211" s="1338"/>
      <c r="G211" s="1339"/>
      <c r="H211" s="220"/>
      <c r="I211" s="220"/>
      <c r="J211" s="5"/>
      <c r="K211" s="1282"/>
      <c r="L211" s="1282"/>
      <c r="O211" s="1293"/>
      <c r="P211" s="1293"/>
      <c r="Q211" s="1293"/>
      <c r="R211" s="1293"/>
      <c r="S211" s="1293"/>
      <c r="T211" s="1293"/>
      <c r="U211" s="1293"/>
      <c r="W211" s="1293" t="str">
        <f>'🔵クレーム'!C202</f>
        <v/>
      </c>
      <c r="X211" s="1293" t="str">
        <f>'🔵クレーム'!D202</f>
        <v/>
      </c>
      <c r="Y211" s="1292" t="str">
        <f>'🔵クレーム'!I202</f>
        <v/>
      </c>
      <c r="Z211" s="1293" t="str">
        <f>'🔵クレーム'!J202</f>
        <v/>
      </c>
      <c r="AA211" s="1293" t="str">
        <f>'🔵クレーム'!K202</f>
        <v/>
      </c>
      <c r="AB211" s="1293" t="str">
        <f>'🔵クレーム'!L202</f>
        <v/>
      </c>
      <c r="AC211" s="1295" t="str">
        <f>'🔵クレーム'!N202</f>
        <v/>
      </c>
      <c r="AH211" s="274"/>
    </row>
    <row r="212">
      <c r="B212" s="1270"/>
      <c r="C212" s="1270"/>
      <c r="D212" s="1270"/>
      <c r="E212" s="1338"/>
      <c r="F212" s="1338"/>
      <c r="G212" s="1339"/>
      <c r="H212" s="220"/>
      <c r="I212" s="220"/>
      <c r="J212" s="5"/>
      <c r="K212" s="1282"/>
      <c r="L212" s="1282"/>
      <c r="O212" s="1293"/>
      <c r="P212" s="1293"/>
      <c r="Q212" s="1293"/>
      <c r="R212" s="1293"/>
      <c r="S212" s="1293"/>
      <c r="T212" s="1293"/>
      <c r="U212" s="1293"/>
      <c r="W212" s="1293" t="str">
        <f>'🔵クレーム'!C203</f>
        <v/>
      </c>
      <c r="X212" s="1293" t="str">
        <f>'🔵クレーム'!D203</f>
        <v/>
      </c>
      <c r="Y212" s="1292" t="str">
        <f>'🔵クレーム'!I203</f>
        <v/>
      </c>
      <c r="Z212" s="1293" t="str">
        <f>'🔵クレーム'!J203</f>
        <v/>
      </c>
      <c r="AA212" s="1293" t="str">
        <f>'🔵クレーム'!K203</f>
        <v/>
      </c>
      <c r="AB212" s="1293" t="str">
        <f>'🔵クレーム'!L203</f>
        <v/>
      </c>
      <c r="AC212" s="1295" t="str">
        <f>'🔵クレーム'!N203</f>
        <v/>
      </c>
      <c r="AH212" s="274"/>
    </row>
    <row r="213">
      <c r="B213" s="1270"/>
      <c r="C213" s="1270"/>
      <c r="D213" s="1270"/>
      <c r="E213" s="1338"/>
      <c r="F213" s="1338"/>
      <c r="G213" s="1339"/>
      <c r="H213" s="220"/>
      <c r="I213" s="220"/>
      <c r="J213" s="5"/>
      <c r="K213" s="1282"/>
      <c r="L213" s="1282"/>
      <c r="O213" s="1293"/>
      <c r="P213" s="1293"/>
      <c r="Q213" s="1293"/>
      <c r="R213" s="1293"/>
      <c r="S213" s="1293"/>
      <c r="T213" s="1293"/>
      <c r="U213" s="1293"/>
      <c r="W213" s="1293" t="str">
        <f>'🔵クレーム'!C204</f>
        <v/>
      </c>
      <c r="X213" s="1293" t="str">
        <f>'🔵クレーム'!D204</f>
        <v/>
      </c>
      <c r="Y213" s="1292" t="str">
        <f>'🔵クレーム'!I204</f>
        <v/>
      </c>
      <c r="Z213" s="1293" t="str">
        <f>'🔵クレーム'!J204</f>
        <v/>
      </c>
      <c r="AA213" s="1293" t="str">
        <f>'🔵クレーム'!K204</f>
        <v/>
      </c>
      <c r="AB213" s="1293" t="str">
        <f>'🔵クレーム'!L204</f>
        <v/>
      </c>
      <c r="AC213" s="1295" t="str">
        <f>'🔵クレーム'!N204</f>
        <v/>
      </c>
      <c r="AH213" s="274"/>
    </row>
    <row r="214">
      <c r="B214" s="1270"/>
      <c r="C214" s="1270"/>
      <c r="D214" s="1270"/>
      <c r="E214" s="1338"/>
      <c r="F214" s="1338"/>
      <c r="G214" s="1339"/>
      <c r="H214" s="220"/>
      <c r="I214" s="220"/>
      <c r="J214" s="5"/>
      <c r="K214" s="1282"/>
      <c r="L214" s="1282"/>
      <c r="O214" s="1293"/>
      <c r="P214" s="1293"/>
      <c r="Q214" s="1293"/>
      <c r="R214" s="1293"/>
      <c r="S214" s="1293"/>
      <c r="T214" s="1293"/>
      <c r="U214" s="1293"/>
      <c r="W214" s="1293" t="str">
        <f>'🔵クレーム'!C205</f>
        <v/>
      </c>
      <c r="X214" s="1293" t="str">
        <f>'🔵クレーム'!D205</f>
        <v/>
      </c>
      <c r="Y214" s="1292" t="str">
        <f>'🔵クレーム'!I205</f>
        <v/>
      </c>
      <c r="Z214" s="1293" t="str">
        <f>'🔵クレーム'!J205</f>
        <v/>
      </c>
      <c r="AA214" s="1293" t="str">
        <f>'🔵クレーム'!K205</f>
        <v/>
      </c>
      <c r="AB214" s="1293" t="str">
        <f>'🔵クレーム'!L205</f>
        <v/>
      </c>
      <c r="AC214" s="1295" t="str">
        <f>'🔵クレーム'!N205</f>
        <v/>
      </c>
      <c r="AH214" s="274"/>
    </row>
    <row r="215">
      <c r="B215" s="1270"/>
      <c r="C215" s="1270"/>
      <c r="D215" s="1270"/>
      <c r="E215" s="1338"/>
      <c r="F215" s="1338"/>
      <c r="G215" s="1339"/>
      <c r="H215" s="220"/>
      <c r="I215" s="220"/>
      <c r="J215" s="5"/>
      <c r="K215" s="1282"/>
      <c r="L215" s="1282"/>
      <c r="O215" s="1293"/>
      <c r="P215" s="1293"/>
      <c r="Q215" s="1293"/>
      <c r="R215" s="1293"/>
      <c r="S215" s="1293"/>
      <c r="T215" s="1293"/>
      <c r="U215" s="1293"/>
      <c r="W215" s="1293" t="str">
        <f>'🔵クレーム'!C206</f>
        <v/>
      </c>
      <c r="X215" s="1293" t="str">
        <f>'🔵クレーム'!D206</f>
        <v/>
      </c>
      <c r="Y215" s="1292" t="str">
        <f>'🔵クレーム'!I206</f>
        <v/>
      </c>
      <c r="Z215" s="1293" t="str">
        <f>'🔵クレーム'!J206</f>
        <v/>
      </c>
      <c r="AA215" s="1293" t="str">
        <f>'🔵クレーム'!K206</f>
        <v/>
      </c>
      <c r="AB215" s="1293" t="str">
        <f>'🔵クレーム'!L206</f>
        <v/>
      </c>
      <c r="AC215" s="1295" t="str">
        <f>'🔵クレーム'!N206</f>
        <v/>
      </c>
      <c r="AH215" s="274"/>
    </row>
    <row r="216">
      <c r="B216" s="1270"/>
      <c r="C216" s="1270"/>
      <c r="D216" s="1270"/>
      <c r="E216" s="1338"/>
      <c r="F216" s="1338"/>
      <c r="G216" s="1339"/>
      <c r="H216" s="220"/>
      <c r="I216" s="220"/>
      <c r="J216" s="5"/>
      <c r="K216" s="1282"/>
      <c r="L216" s="1282"/>
      <c r="O216" s="1293"/>
      <c r="P216" s="1293"/>
      <c r="Q216" s="1293"/>
      <c r="R216" s="1293"/>
      <c r="S216" s="1293"/>
      <c r="T216" s="1293"/>
      <c r="U216" s="1293"/>
      <c r="W216" s="1293" t="str">
        <f>'🔵クレーム'!C207</f>
        <v/>
      </c>
      <c r="X216" s="1293" t="str">
        <f>'🔵クレーム'!D207</f>
        <v/>
      </c>
      <c r="Y216" s="1292" t="str">
        <f>'🔵クレーム'!I207</f>
        <v/>
      </c>
      <c r="Z216" s="1293" t="str">
        <f>'🔵クレーム'!J207</f>
        <v/>
      </c>
      <c r="AA216" s="1293" t="str">
        <f>'🔵クレーム'!K207</f>
        <v/>
      </c>
      <c r="AB216" s="1293" t="str">
        <f>'🔵クレーム'!L207</f>
        <v/>
      </c>
      <c r="AC216" s="1295" t="str">
        <f>'🔵クレーム'!N207</f>
        <v/>
      </c>
      <c r="AH216" s="274"/>
    </row>
    <row r="217">
      <c r="B217" s="1270"/>
      <c r="C217" s="1270"/>
      <c r="D217" s="1270"/>
      <c r="E217" s="1338"/>
      <c r="F217" s="1338"/>
      <c r="G217" s="1339"/>
      <c r="H217" s="220"/>
      <c r="I217" s="220"/>
      <c r="J217" s="5"/>
      <c r="K217" s="1282"/>
      <c r="L217" s="1282"/>
      <c r="O217" s="1293"/>
      <c r="P217" s="1293"/>
      <c r="Q217" s="1293"/>
      <c r="R217" s="1293"/>
      <c r="S217" s="1293"/>
      <c r="T217" s="1293"/>
      <c r="U217" s="1293"/>
      <c r="W217" s="1293" t="str">
        <f>'🔵クレーム'!C208</f>
        <v/>
      </c>
      <c r="X217" s="1293" t="str">
        <f>'🔵クレーム'!D208</f>
        <v/>
      </c>
      <c r="Y217" s="1292" t="str">
        <f>'🔵クレーム'!I208</f>
        <v/>
      </c>
      <c r="Z217" s="1293" t="str">
        <f>'🔵クレーム'!J208</f>
        <v/>
      </c>
      <c r="AA217" s="1293" t="str">
        <f>'🔵クレーム'!K208</f>
        <v/>
      </c>
      <c r="AB217" s="1293" t="str">
        <f>'🔵クレーム'!L208</f>
        <v/>
      </c>
      <c r="AC217" s="1295" t="str">
        <f>'🔵クレーム'!N208</f>
        <v/>
      </c>
      <c r="AH217" s="274"/>
    </row>
    <row r="218">
      <c r="B218" s="1270"/>
      <c r="C218" s="1270"/>
      <c r="D218" s="1270"/>
      <c r="E218" s="1338"/>
      <c r="F218" s="1338"/>
      <c r="G218" s="1339"/>
      <c r="H218" s="220"/>
      <c r="I218" s="220"/>
      <c r="J218" s="5"/>
      <c r="K218" s="1282"/>
      <c r="L218" s="1282"/>
      <c r="O218" s="1293"/>
      <c r="P218" s="1293"/>
      <c r="Q218" s="1293"/>
      <c r="R218" s="1293"/>
      <c r="S218" s="1293"/>
      <c r="T218" s="1293"/>
      <c r="U218" s="1293"/>
      <c r="W218" s="1293" t="str">
        <f>'🔵クレーム'!C209</f>
        <v/>
      </c>
      <c r="X218" s="1293" t="str">
        <f>'🔵クレーム'!D209</f>
        <v/>
      </c>
      <c r="Y218" s="1292" t="str">
        <f>'🔵クレーム'!I209</f>
        <v/>
      </c>
      <c r="Z218" s="1293" t="str">
        <f>'🔵クレーム'!J209</f>
        <v/>
      </c>
      <c r="AA218" s="1293" t="str">
        <f>'🔵クレーム'!K209</f>
        <v/>
      </c>
      <c r="AB218" s="1293" t="str">
        <f>'🔵クレーム'!L209</f>
        <v/>
      </c>
      <c r="AC218" s="1295" t="str">
        <f>'🔵クレーム'!N209</f>
        <v/>
      </c>
      <c r="AH218" s="274"/>
    </row>
    <row r="219">
      <c r="B219" s="1270"/>
      <c r="C219" s="1270"/>
      <c r="D219" s="1270"/>
      <c r="E219" s="1338"/>
      <c r="F219" s="1338"/>
      <c r="G219" s="1339"/>
      <c r="H219" s="220"/>
      <c r="I219" s="220"/>
      <c r="J219" s="5"/>
      <c r="K219" s="1282"/>
      <c r="L219" s="1282"/>
      <c r="O219" s="1293"/>
      <c r="P219" s="1293"/>
      <c r="Q219" s="1293"/>
      <c r="R219" s="1293"/>
      <c r="S219" s="1293"/>
      <c r="T219" s="1293"/>
      <c r="U219" s="1293"/>
      <c r="W219" s="1293" t="str">
        <f>'🔵クレーム'!C210</f>
        <v/>
      </c>
      <c r="X219" s="1293" t="str">
        <f>'🔵クレーム'!D210</f>
        <v/>
      </c>
      <c r="Y219" s="1292" t="str">
        <f>'🔵クレーム'!I210</f>
        <v/>
      </c>
      <c r="Z219" s="1293" t="str">
        <f>'🔵クレーム'!J210</f>
        <v/>
      </c>
      <c r="AA219" s="1293" t="str">
        <f>'🔵クレーム'!K210</f>
        <v/>
      </c>
      <c r="AB219" s="1293" t="str">
        <f>'🔵クレーム'!L210</f>
        <v/>
      </c>
      <c r="AC219" s="1295" t="str">
        <f>'🔵クレーム'!N210</f>
        <v/>
      </c>
      <c r="AH219" s="274"/>
    </row>
    <row r="220">
      <c r="B220" s="1270"/>
      <c r="C220" s="1270"/>
      <c r="D220" s="1270"/>
      <c r="E220" s="1338"/>
      <c r="F220" s="1338"/>
      <c r="G220" s="1339"/>
      <c r="H220" s="220"/>
      <c r="I220" s="220"/>
      <c r="J220" s="5"/>
      <c r="K220" s="1282"/>
      <c r="L220" s="1282"/>
      <c r="O220" s="1293"/>
      <c r="P220" s="1293"/>
      <c r="Q220" s="1293"/>
      <c r="R220" s="1293"/>
      <c r="S220" s="1293"/>
      <c r="T220" s="1293"/>
      <c r="U220" s="1293"/>
      <c r="W220" s="1293" t="str">
        <f>'🔵クレーム'!C211</f>
        <v/>
      </c>
      <c r="X220" s="1293" t="str">
        <f>'🔵クレーム'!D211</f>
        <v/>
      </c>
      <c r="Y220" s="1292" t="str">
        <f>'🔵クレーム'!I211</f>
        <v/>
      </c>
      <c r="Z220" s="1293" t="str">
        <f>'🔵クレーム'!J211</f>
        <v/>
      </c>
      <c r="AA220" s="1293" t="str">
        <f>'🔵クレーム'!K211</f>
        <v/>
      </c>
      <c r="AB220" s="1293" t="str">
        <f>'🔵クレーム'!L211</f>
        <v/>
      </c>
      <c r="AC220" s="1295" t="str">
        <f>'🔵クレーム'!N211</f>
        <v/>
      </c>
      <c r="AH220" s="274"/>
    </row>
    <row r="221">
      <c r="B221" s="1270"/>
      <c r="C221" s="1270"/>
      <c r="D221" s="1270"/>
      <c r="E221" s="1338"/>
      <c r="F221" s="1338"/>
      <c r="G221" s="1339"/>
      <c r="H221" s="220"/>
      <c r="I221" s="220"/>
      <c r="J221" s="5"/>
      <c r="K221" s="1282"/>
      <c r="L221" s="1282"/>
      <c r="O221" s="1293"/>
      <c r="P221" s="1293"/>
      <c r="Q221" s="1293"/>
      <c r="R221" s="1293"/>
      <c r="S221" s="1293"/>
      <c r="T221" s="1293"/>
      <c r="U221" s="1293"/>
      <c r="W221" s="1293" t="str">
        <f>'🔵クレーム'!C212</f>
        <v/>
      </c>
      <c r="X221" s="1293" t="str">
        <f>'🔵クレーム'!D212</f>
        <v/>
      </c>
      <c r="Y221" s="1292" t="str">
        <f>'🔵クレーム'!I212</f>
        <v/>
      </c>
      <c r="Z221" s="1293" t="str">
        <f>'🔵クレーム'!J212</f>
        <v/>
      </c>
      <c r="AA221" s="1293" t="str">
        <f>'🔵クレーム'!K212</f>
        <v/>
      </c>
      <c r="AB221" s="1293" t="str">
        <f>'🔵クレーム'!L212</f>
        <v/>
      </c>
      <c r="AC221" s="1295" t="str">
        <f>'🔵クレーム'!N212</f>
        <v/>
      </c>
      <c r="AH221" s="274"/>
    </row>
    <row r="222">
      <c r="B222" s="1270"/>
      <c r="C222" s="1270"/>
      <c r="D222" s="1270"/>
      <c r="E222" s="1338"/>
      <c r="F222" s="1338"/>
      <c r="G222" s="1339"/>
      <c r="H222" s="220"/>
      <c r="I222" s="220"/>
      <c r="J222" s="5"/>
      <c r="K222" s="1282"/>
      <c r="L222" s="1282"/>
      <c r="O222" s="1293"/>
      <c r="P222" s="1293"/>
      <c r="Q222" s="1293"/>
      <c r="R222" s="1293"/>
      <c r="S222" s="1293"/>
      <c r="T222" s="1293"/>
      <c r="U222" s="1293"/>
      <c r="W222" s="1293" t="str">
        <f>'🔵クレーム'!C213</f>
        <v/>
      </c>
      <c r="X222" s="1293" t="str">
        <f>'🔵クレーム'!D213</f>
        <v/>
      </c>
      <c r="Y222" s="1292" t="str">
        <f>'🔵クレーム'!I213</f>
        <v/>
      </c>
      <c r="Z222" s="1293" t="str">
        <f>'🔵クレーム'!J213</f>
        <v/>
      </c>
      <c r="AA222" s="1293" t="str">
        <f>'🔵クレーム'!K213</f>
        <v/>
      </c>
      <c r="AB222" s="1293" t="str">
        <f>'🔵クレーム'!L213</f>
        <v/>
      </c>
      <c r="AC222" s="1295" t="str">
        <f>'🔵クレーム'!N213</f>
        <v/>
      </c>
      <c r="AH222" s="274"/>
    </row>
    <row r="223">
      <c r="B223" s="1270"/>
      <c r="C223" s="1270"/>
      <c r="D223" s="1270"/>
      <c r="E223" s="1338"/>
      <c r="F223" s="1338"/>
      <c r="G223" s="1339"/>
      <c r="H223" s="220"/>
      <c r="I223" s="220"/>
      <c r="J223" s="5"/>
      <c r="K223" s="1282"/>
      <c r="L223" s="1282"/>
      <c r="O223" s="1293"/>
      <c r="P223" s="1293"/>
      <c r="Q223" s="1293"/>
      <c r="R223" s="1293"/>
      <c r="S223" s="1293"/>
      <c r="T223" s="1293"/>
      <c r="U223" s="1293"/>
      <c r="W223" s="1293" t="str">
        <f>'🔵クレーム'!C214</f>
        <v/>
      </c>
      <c r="X223" s="1293" t="str">
        <f>'🔵クレーム'!D214</f>
        <v/>
      </c>
      <c r="Y223" s="1292" t="str">
        <f>'🔵クレーム'!I214</f>
        <v/>
      </c>
      <c r="Z223" s="1293" t="str">
        <f>'🔵クレーム'!J214</f>
        <v/>
      </c>
      <c r="AA223" s="1293" t="str">
        <f>'🔵クレーム'!K214</f>
        <v/>
      </c>
      <c r="AB223" s="1293" t="str">
        <f>'🔵クレーム'!L214</f>
        <v/>
      </c>
      <c r="AC223" s="1295" t="str">
        <f>'🔵クレーム'!N214</f>
        <v/>
      </c>
      <c r="AH223" s="274"/>
    </row>
    <row r="224">
      <c r="B224" s="1270"/>
      <c r="C224" s="1270"/>
      <c r="D224" s="1270"/>
      <c r="E224" s="1338"/>
      <c r="F224" s="1338"/>
      <c r="G224" s="1339"/>
      <c r="H224" s="220"/>
      <c r="I224" s="220"/>
      <c r="J224" s="5"/>
      <c r="K224" s="1282"/>
      <c r="L224" s="1282"/>
      <c r="O224" s="1293"/>
      <c r="P224" s="1293"/>
      <c r="Q224" s="1293"/>
      <c r="R224" s="1293"/>
      <c r="S224" s="1293"/>
      <c r="T224" s="1293"/>
      <c r="U224" s="1293"/>
      <c r="W224" s="1293" t="str">
        <f>'🔵クレーム'!C215</f>
        <v/>
      </c>
      <c r="X224" s="1293" t="str">
        <f>'🔵クレーム'!D215</f>
        <v/>
      </c>
      <c r="Y224" s="1292" t="str">
        <f>'🔵クレーム'!I215</f>
        <v/>
      </c>
      <c r="Z224" s="1293" t="str">
        <f>'🔵クレーム'!J215</f>
        <v/>
      </c>
      <c r="AA224" s="1293" t="str">
        <f>'🔵クレーム'!K215</f>
        <v/>
      </c>
      <c r="AB224" s="1293" t="str">
        <f>'🔵クレーム'!L215</f>
        <v/>
      </c>
      <c r="AC224" s="1295" t="str">
        <f>'🔵クレーム'!N215</f>
        <v/>
      </c>
      <c r="AH224" s="274"/>
    </row>
    <row r="225">
      <c r="B225" s="1270"/>
      <c r="C225" s="1270"/>
      <c r="D225" s="1270"/>
      <c r="E225" s="1338"/>
      <c r="F225" s="1338"/>
      <c r="G225" s="1339"/>
      <c r="H225" s="220"/>
      <c r="I225" s="220"/>
      <c r="J225" s="5"/>
      <c r="K225" s="1282"/>
      <c r="L225" s="1282"/>
      <c r="O225" s="1293"/>
      <c r="P225" s="1293"/>
      <c r="Q225" s="1293"/>
      <c r="R225" s="1293"/>
      <c r="S225" s="1293"/>
      <c r="T225" s="1293"/>
      <c r="U225" s="1293"/>
      <c r="W225" s="1293" t="str">
        <f>'🔵クレーム'!C216</f>
        <v/>
      </c>
      <c r="X225" s="1293" t="str">
        <f>'🔵クレーム'!D216</f>
        <v/>
      </c>
      <c r="Y225" s="1292" t="str">
        <f>'🔵クレーム'!I216</f>
        <v/>
      </c>
      <c r="Z225" s="1293" t="str">
        <f>'🔵クレーム'!J216</f>
        <v/>
      </c>
      <c r="AA225" s="1293" t="str">
        <f>'🔵クレーム'!K216</f>
        <v/>
      </c>
      <c r="AB225" s="1293" t="str">
        <f>'🔵クレーム'!L216</f>
        <v/>
      </c>
      <c r="AC225" s="1295" t="str">
        <f>'🔵クレーム'!N216</f>
        <v/>
      </c>
      <c r="AH225" s="274"/>
    </row>
    <row r="226">
      <c r="B226" s="1270"/>
      <c r="C226" s="1270"/>
      <c r="D226" s="1270"/>
      <c r="E226" s="1338"/>
      <c r="F226" s="1338"/>
      <c r="G226" s="1339"/>
      <c r="H226" s="220"/>
      <c r="I226" s="220"/>
      <c r="J226" s="5"/>
      <c r="K226" s="1282"/>
      <c r="L226" s="1282"/>
      <c r="O226" s="1293"/>
      <c r="P226" s="1293"/>
      <c r="Q226" s="1293"/>
      <c r="R226" s="1293"/>
      <c r="S226" s="1293"/>
      <c r="T226" s="1293"/>
      <c r="U226" s="1293"/>
      <c r="W226" s="1293" t="str">
        <f>'🔵クレーム'!C217</f>
        <v/>
      </c>
      <c r="X226" s="1293" t="str">
        <f>'🔵クレーム'!D217</f>
        <v/>
      </c>
      <c r="Y226" s="1292" t="str">
        <f>'🔵クレーム'!I217</f>
        <v/>
      </c>
      <c r="Z226" s="1293" t="str">
        <f>'🔵クレーム'!J217</f>
        <v/>
      </c>
      <c r="AA226" s="1293" t="str">
        <f>'🔵クレーム'!K217</f>
        <v/>
      </c>
      <c r="AB226" s="1293" t="str">
        <f>'🔵クレーム'!L217</f>
        <v/>
      </c>
      <c r="AC226" s="1295" t="str">
        <f>'🔵クレーム'!N217</f>
        <v/>
      </c>
      <c r="AH226" s="274"/>
    </row>
    <row r="227">
      <c r="B227" s="1270"/>
      <c r="C227" s="1270"/>
      <c r="D227" s="1270"/>
      <c r="E227" s="1338"/>
      <c r="F227" s="1338"/>
      <c r="G227" s="1339"/>
      <c r="H227" s="220"/>
      <c r="I227" s="220"/>
      <c r="J227" s="5"/>
      <c r="K227" s="1282"/>
      <c r="L227" s="1282"/>
      <c r="O227" s="1293"/>
      <c r="P227" s="1293"/>
      <c r="Q227" s="1293"/>
      <c r="R227" s="1293"/>
      <c r="S227" s="1293"/>
      <c r="T227" s="1293"/>
      <c r="U227" s="1293"/>
      <c r="W227" s="1293" t="str">
        <f>'🔵クレーム'!C218</f>
        <v/>
      </c>
      <c r="X227" s="1293" t="str">
        <f>'🔵クレーム'!D218</f>
        <v/>
      </c>
      <c r="Y227" s="1292" t="str">
        <f>'🔵クレーム'!I218</f>
        <v/>
      </c>
      <c r="Z227" s="1293" t="str">
        <f>'🔵クレーム'!J218</f>
        <v/>
      </c>
      <c r="AA227" s="1293" t="str">
        <f>'🔵クレーム'!K218</f>
        <v/>
      </c>
      <c r="AB227" s="1293" t="str">
        <f>'🔵クレーム'!L218</f>
        <v/>
      </c>
      <c r="AC227" s="1295" t="str">
        <f>'🔵クレーム'!N218</f>
        <v/>
      </c>
      <c r="AH227" s="274"/>
    </row>
    <row r="228">
      <c r="B228" s="1270"/>
      <c r="C228" s="1270"/>
      <c r="D228" s="1270"/>
      <c r="E228" s="1338"/>
      <c r="F228" s="1338"/>
      <c r="G228" s="1339"/>
      <c r="H228" s="220"/>
      <c r="I228" s="220"/>
      <c r="J228" s="5"/>
      <c r="K228" s="1282"/>
      <c r="L228" s="1282"/>
      <c r="O228" s="1293"/>
      <c r="P228" s="1293"/>
      <c r="Q228" s="1293"/>
      <c r="R228" s="1293"/>
      <c r="S228" s="1293"/>
      <c r="T228" s="1293"/>
      <c r="U228" s="1293"/>
      <c r="W228" s="1293" t="str">
        <f>'🔵クレーム'!C219</f>
        <v/>
      </c>
      <c r="X228" s="1293" t="str">
        <f>'🔵クレーム'!D219</f>
        <v/>
      </c>
      <c r="Y228" s="1292" t="str">
        <f>'🔵クレーム'!I219</f>
        <v/>
      </c>
      <c r="Z228" s="1293" t="str">
        <f>'🔵クレーム'!J219</f>
        <v/>
      </c>
      <c r="AA228" s="1293" t="str">
        <f>'🔵クレーム'!K219</f>
        <v/>
      </c>
      <c r="AB228" s="1293" t="str">
        <f>'🔵クレーム'!L219</f>
        <v/>
      </c>
      <c r="AC228" s="1295" t="str">
        <f>'🔵クレーム'!N219</f>
        <v/>
      </c>
      <c r="AH228" s="274"/>
    </row>
    <row r="229">
      <c r="B229" s="1270"/>
      <c r="C229" s="1270"/>
      <c r="D229" s="1270"/>
      <c r="E229" s="1338"/>
      <c r="F229" s="1338"/>
      <c r="G229" s="1339"/>
      <c r="H229" s="220"/>
      <c r="I229" s="220"/>
      <c r="J229" s="5"/>
      <c r="K229" s="1282"/>
      <c r="L229" s="1282"/>
      <c r="O229" s="1293"/>
      <c r="P229" s="1293"/>
      <c r="Q229" s="1293"/>
      <c r="R229" s="1293"/>
      <c r="S229" s="1293"/>
      <c r="T229" s="1293"/>
      <c r="U229" s="1293"/>
      <c r="W229" s="1293" t="str">
        <f>'🔵クレーム'!C220</f>
        <v/>
      </c>
      <c r="X229" s="1293" t="str">
        <f>'🔵クレーム'!D220</f>
        <v/>
      </c>
      <c r="Y229" s="1292" t="str">
        <f>'🔵クレーム'!I220</f>
        <v/>
      </c>
      <c r="Z229" s="1293" t="str">
        <f>'🔵クレーム'!J220</f>
        <v/>
      </c>
      <c r="AA229" s="1293" t="str">
        <f>'🔵クレーム'!K220</f>
        <v/>
      </c>
      <c r="AB229" s="1293" t="str">
        <f>'🔵クレーム'!L220</f>
        <v/>
      </c>
      <c r="AC229" s="1295" t="str">
        <f>'🔵クレーム'!N220</f>
        <v/>
      </c>
      <c r="AH229" s="274"/>
    </row>
    <row r="230">
      <c r="B230" s="1270"/>
      <c r="C230" s="1270"/>
      <c r="D230" s="1270"/>
      <c r="E230" s="1338"/>
      <c r="F230" s="1338"/>
      <c r="G230" s="1339"/>
      <c r="H230" s="220"/>
      <c r="I230" s="220"/>
      <c r="J230" s="5"/>
      <c r="K230" s="1282"/>
      <c r="L230" s="1282"/>
      <c r="O230" s="1293"/>
      <c r="P230" s="1293"/>
      <c r="Q230" s="1293"/>
      <c r="R230" s="1293"/>
      <c r="S230" s="1293"/>
      <c r="T230" s="1293"/>
      <c r="U230" s="1293"/>
      <c r="W230" s="1293" t="str">
        <f>'🔵クレーム'!C221</f>
        <v/>
      </c>
      <c r="X230" s="1293" t="str">
        <f>'🔵クレーム'!D221</f>
        <v/>
      </c>
      <c r="Y230" s="1292" t="str">
        <f>'🔵クレーム'!I221</f>
        <v/>
      </c>
      <c r="Z230" s="1293" t="str">
        <f>'🔵クレーム'!J221</f>
        <v/>
      </c>
      <c r="AA230" s="1293" t="str">
        <f>'🔵クレーム'!K221</f>
        <v/>
      </c>
      <c r="AB230" s="1293" t="str">
        <f>'🔵クレーム'!L221</f>
        <v/>
      </c>
      <c r="AC230" s="1295" t="str">
        <f>'🔵クレーム'!N221</f>
        <v/>
      </c>
      <c r="AH230" s="274"/>
    </row>
    <row r="231">
      <c r="B231" s="1270"/>
      <c r="C231" s="1270"/>
      <c r="D231" s="1270"/>
      <c r="E231" s="1338"/>
      <c r="F231" s="1338"/>
      <c r="G231" s="1339"/>
      <c r="H231" s="220"/>
      <c r="I231" s="220"/>
      <c r="J231" s="5"/>
      <c r="K231" s="1282"/>
      <c r="L231" s="1282"/>
      <c r="O231" s="1293"/>
      <c r="P231" s="1293"/>
      <c r="Q231" s="1293"/>
      <c r="R231" s="1293"/>
      <c r="S231" s="1293"/>
      <c r="T231" s="1293"/>
      <c r="U231" s="1293"/>
      <c r="W231" s="1293" t="str">
        <f>'🔵クレーム'!C222</f>
        <v/>
      </c>
      <c r="X231" s="1293" t="str">
        <f>'🔵クレーム'!D222</f>
        <v/>
      </c>
      <c r="Y231" s="1292" t="str">
        <f>'🔵クレーム'!I222</f>
        <v/>
      </c>
      <c r="Z231" s="1293" t="str">
        <f>'🔵クレーム'!J222</f>
        <v/>
      </c>
      <c r="AA231" s="1293" t="str">
        <f>'🔵クレーム'!K222</f>
        <v/>
      </c>
      <c r="AB231" s="1293" t="str">
        <f>'🔵クレーム'!L222</f>
        <v/>
      </c>
      <c r="AC231" s="1295" t="str">
        <f>'🔵クレーム'!N222</f>
        <v/>
      </c>
      <c r="AH231" s="274"/>
    </row>
    <row r="232">
      <c r="B232" s="1270"/>
      <c r="C232" s="1270"/>
      <c r="D232" s="1270"/>
      <c r="E232" s="1338"/>
      <c r="F232" s="1338"/>
      <c r="G232" s="1339"/>
      <c r="H232" s="220"/>
      <c r="I232" s="220"/>
      <c r="J232" s="5"/>
      <c r="K232" s="1282"/>
      <c r="L232" s="1282"/>
      <c r="O232" s="1293"/>
      <c r="P232" s="1293"/>
      <c r="Q232" s="1293"/>
      <c r="R232" s="1293"/>
      <c r="S232" s="1293"/>
      <c r="T232" s="1293"/>
      <c r="U232" s="1293"/>
      <c r="W232" s="1293" t="str">
        <f>'🔵クレーム'!C223</f>
        <v/>
      </c>
      <c r="X232" s="1293" t="str">
        <f>'🔵クレーム'!D223</f>
        <v/>
      </c>
      <c r="Y232" s="1292" t="str">
        <f>'🔵クレーム'!I223</f>
        <v/>
      </c>
      <c r="Z232" s="1293" t="str">
        <f>'🔵クレーム'!J223</f>
        <v/>
      </c>
      <c r="AA232" s="1293" t="str">
        <f>'🔵クレーム'!K223</f>
        <v/>
      </c>
      <c r="AB232" s="1293" t="str">
        <f>'🔵クレーム'!L223</f>
        <v/>
      </c>
      <c r="AC232" s="1295" t="str">
        <f>'🔵クレーム'!N223</f>
        <v/>
      </c>
      <c r="AH232" s="274"/>
    </row>
    <row r="233">
      <c r="B233" s="1270"/>
      <c r="C233" s="1270"/>
      <c r="D233" s="1270"/>
      <c r="E233" s="1338"/>
      <c r="F233" s="1338"/>
      <c r="G233" s="1339"/>
      <c r="H233" s="220"/>
      <c r="I233" s="220"/>
      <c r="J233" s="5"/>
      <c r="K233" s="1282"/>
      <c r="L233" s="1282"/>
      <c r="O233" s="1293"/>
      <c r="P233" s="1293"/>
      <c r="Q233" s="1293"/>
      <c r="R233" s="1293"/>
      <c r="S233" s="1293"/>
      <c r="T233" s="1293"/>
      <c r="U233" s="1293"/>
      <c r="W233" s="1293" t="str">
        <f>'🔵クレーム'!C224</f>
        <v/>
      </c>
      <c r="X233" s="1293" t="str">
        <f>'🔵クレーム'!D224</f>
        <v/>
      </c>
      <c r="Y233" s="1292" t="str">
        <f>'🔵クレーム'!I224</f>
        <v/>
      </c>
      <c r="Z233" s="1293" t="str">
        <f>'🔵クレーム'!J224</f>
        <v/>
      </c>
      <c r="AA233" s="1293" t="str">
        <f>'🔵クレーム'!K224</f>
        <v/>
      </c>
      <c r="AB233" s="1293" t="str">
        <f>'🔵クレーム'!L224</f>
        <v/>
      </c>
      <c r="AC233" s="1295" t="str">
        <f>'🔵クレーム'!N224</f>
        <v/>
      </c>
      <c r="AH233" s="274"/>
    </row>
    <row r="234">
      <c r="B234" s="1270"/>
      <c r="C234" s="1270"/>
      <c r="D234" s="1270"/>
      <c r="E234" s="1338"/>
      <c r="F234" s="1338"/>
      <c r="G234" s="1339"/>
      <c r="H234" s="220"/>
      <c r="I234" s="220"/>
      <c r="J234" s="5"/>
      <c r="K234" s="1282"/>
      <c r="L234" s="1282"/>
      <c r="O234" s="1293"/>
      <c r="P234" s="1293"/>
      <c r="Q234" s="1293"/>
      <c r="R234" s="1293"/>
      <c r="S234" s="1293"/>
      <c r="T234" s="1293"/>
      <c r="U234" s="1293"/>
      <c r="W234" s="1293" t="str">
        <f>'🔵クレーム'!C225</f>
        <v/>
      </c>
      <c r="X234" s="1293" t="str">
        <f>'🔵クレーム'!D225</f>
        <v/>
      </c>
      <c r="Y234" s="1292" t="str">
        <f>'🔵クレーム'!I225</f>
        <v/>
      </c>
      <c r="Z234" s="1293" t="str">
        <f>'🔵クレーム'!J225</f>
        <v/>
      </c>
      <c r="AA234" s="1293" t="str">
        <f>'🔵クレーム'!K225</f>
        <v/>
      </c>
      <c r="AB234" s="1293" t="str">
        <f>'🔵クレーム'!L225</f>
        <v/>
      </c>
      <c r="AC234" s="1295" t="str">
        <f>'🔵クレーム'!N225</f>
        <v/>
      </c>
      <c r="AH234" s="274"/>
    </row>
    <row r="235">
      <c r="B235" s="1270"/>
      <c r="C235" s="1270"/>
      <c r="D235" s="1270"/>
      <c r="E235" s="1338"/>
      <c r="F235" s="1338"/>
      <c r="G235" s="1339"/>
      <c r="H235" s="220"/>
      <c r="I235" s="220"/>
      <c r="J235" s="5"/>
      <c r="K235" s="1282"/>
      <c r="L235" s="1282"/>
      <c r="O235" s="1293"/>
      <c r="P235" s="1293"/>
      <c r="Q235" s="1293"/>
      <c r="R235" s="1293"/>
      <c r="S235" s="1293"/>
      <c r="T235" s="1293"/>
      <c r="U235" s="1293"/>
      <c r="W235" s="1293" t="str">
        <f>'🔵クレーム'!C226</f>
        <v/>
      </c>
      <c r="X235" s="1293" t="str">
        <f>'🔵クレーム'!D226</f>
        <v/>
      </c>
      <c r="Y235" s="1292" t="str">
        <f>'🔵クレーム'!I226</f>
        <v/>
      </c>
      <c r="Z235" s="1293" t="str">
        <f>'🔵クレーム'!J226</f>
        <v/>
      </c>
      <c r="AA235" s="1293" t="str">
        <f>'🔵クレーム'!K226</f>
        <v/>
      </c>
      <c r="AB235" s="1293" t="str">
        <f>'🔵クレーム'!L226</f>
        <v/>
      </c>
      <c r="AC235" s="1295" t="str">
        <f>'🔵クレーム'!N226</f>
        <v/>
      </c>
      <c r="AH235" s="274"/>
    </row>
    <row r="236">
      <c r="B236" s="1270"/>
      <c r="C236" s="1270"/>
      <c r="D236" s="1270"/>
      <c r="E236" s="1338"/>
      <c r="F236" s="1338"/>
      <c r="G236" s="1339"/>
      <c r="H236" s="220"/>
      <c r="I236" s="220"/>
      <c r="J236" s="5"/>
      <c r="K236" s="1282"/>
      <c r="L236" s="1282"/>
      <c r="O236" s="1293"/>
      <c r="P236" s="1293"/>
      <c r="Q236" s="1293"/>
      <c r="R236" s="1293"/>
      <c r="S236" s="1293"/>
      <c r="T236" s="1293"/>
      <c r="U236" s="1293"/>
      <c r="W236" s="1293" t="str">
        <f>'🔵クレーム'!C227</f>
        <v/>
      </c>
      <c r="X236" s="1293" t="str">
        <f>'🔵クレーム'!D227</f>
        <v/>
      </c>
      <c r="Y236" s="1292" t="str">
        <f>'🔵クレーム'!I227</f>
        <v/>
      </c>
      <c r="Z236" s="1293" t="str">
        <f>'🔵クレーム'!J227</f>
        <v/>
      </c>
      <c r="AA236" s="1293" t="str">
        <f>'🔵クレーム'!K227</f>
        <v/>
      </c>
      <c r="AB236" s="1293" t="str">
        <f>'🔵クレーム'!L227</f>
        <v/>
      </c>
      <c r="AC236" s="1295" t="str">
        <f>'🔵クレーム'!N227</f>
        <v/>
      </c>
      <c r="AH236" s="274"/>
    </row>
    <row r="237">
      <c r="B237" s="1270"/>
      <c r="C237" s="1270"/>
      <c r="D237" s="1270"/>
      <c r="E237" s="1338"/>
      <c r="F237" s="1338"/>
      <c r="G237" s="1339"/>
      <c r="H237" s="220"/>
      <c r="I237" s="220"/>
      <c r="J237" s="5"/>
      <c r="K237" s="1282"/>
      <c r="L237" s="1282"/>
      <c r="O237" s="1293"/>
      <c r="P237" s="1293"/>
      <c r="Q237" s="1293"/>
      <c r="R237" s="1293"/>
      <c r="S237" s="1293"/>
      <c r="T237" s="1293"/>
      <c r="U237" s="1293"/>
      <c r="W237" s="1293" t="str">
        <f>'🔵クレーム'!C228</f>
        <v/>
      </c>
      <c r="X237" s="1293" t="str">
        <f>'🔵クレーム'!D228</f>
        <v/>
      </c>
      <c r="Y237" s="1292" t="str">
        <f>'🔵クレーム'!I228</f>
        <v/>
      </c>
      <c r="Z237" s="1293" t="str">
        <f>'🔵クレーム'!J228</f>
        <v/>
      </c>
      <c r="AA237" s="1293" t="str">
        <f>'🔵クレーム'!K228</f>
        <v/>
      </c>
      <c r="AB237" s="1293" t="str">
        <f>'🔵クレーム'!L228</f>
        <v/>
      </c>
      <c r="AC237" s="1295" t="str">
        <f>'🔵クレーム'!N228</f>
        <v/>
      </c>
      <c r="AH237" s="274"/>
    </row>
    <row r="238">
      <c r="B238" s="1270"/>
      <c r="C238" s="1270"/>
      <c r="D238" s="1270"/>
      <c r="E238" s="1338"/>
      <c r="F238" s="1338"/>
      <c r="G238" s="1339"/>
      <c r="H238" s="220"/>
      <c r="I238" s="220"/>
      <c r="J238" s="5"/>
      <c r="K238" s="1282"/>
      <c r="L238" s="1282"/>
      <c r="O238" s="1293"/>
      <c r="P238" s="1293"/>
      <c r="Q238" s="1293"/>
      <c r="R238" s="1293"/>
      <c r="S238" s="1293"/>
      <c r="T238" s="1293"/>
      <c r="U238" s="1293"/>
      <c r="W238" s="1293" t="str">
        <f>'🔵クレーム'!C229</f>
        <v/>
      </c>
      <c r="X238" s="1293" t="str">
        <f>'🔵クレーム'!D229</f>
        <v/>
      </c>
      <c r="Y238" s="1292" t="str">
        <f>'🔵クレーム'!I229</f>
        <v/>
      </c>
      <c r="Z238" s="1293" t="str">
        <f>'🔵クレーム'!J229</f>
        <v/>
      </c>
      <c r="AA238" s="1293" t="str">
        <f>'🔵クレーム'!K229</f>
        <v/>
      </c>
      <c r="AB238" s="1293" t="str">
        <f>'🔵クレーム'!L229</f>
        <v/>
      </c>
      <c r="AC238" s="1295" t="str">
        <f>'🔵クレーム'!N229</f>
        <v/>
      </c>
      <c r="AH238" s="274"/>
    </row>
    <row r="239">
      <c r="B239" s="1270"/>
      <c r="C239" s="1270"/>
      <c r="D239" s="1270"/>
      <c r="E239" s="1338"/>
      <c r="F239" s="1338"/>
      <c r="G239" s="1339"/>
      <c r="H239" s="220"/>
      <c r="I239" s="220"/>
      <c r="J239" s="5"/>
      <c r="K239" s="1282"/>
      <c r="L239" s="1282"/>
      <c r="O239" s="1293"/>
      <c r="P239" s="1293"/>
      <c r="Q239" s="1293"/>
      <c r="R239" s="1293"/>
      <c r="S239" s="1293"/>
      <c r="T239" s="1293"/>
      <c r="U239" s="1293"/>
      <c r="W239" s="1293" t="str">
        <f>'🔵クレーム'!C230</f>
        <v/>
      </c>
      <c r="X239" s="1293" t="str">
        <f>'🔵クレーム'!D230</f>
        <v/>
      </c>
      <c r="Y239" s="1292" t="str">
        <f>'🔵クレーム'!I230</f>
        <v/>
      </c>
      <c r="Z239" s="1293" t="str">
        <f>'🔵クレーム'!J230</f>
        <v/>
      </c>
      <c r="AA239" s="1293" t="str">
        <f>'🔵クレーム'!K230</f>
        <v/>
      </c>
      <c r="AB239" s="1293" t="str">
        <f>'🔵クレーム'!L230</f>
        <v/>
      </c>
      <c r="AC239" s="1295" t="str">
        <f>'🔵クレーム'!N230</f>
        <v/>
      </c>
      <c r="AH239" s="274"/>
    </row>
    <row r="240">
      <c r="B240" s="1270"/>
      <c r="C240" s="1270"/>
      <c r="D240" s="1270"/>
      <c r="E240" s="1338"/>
      <c r="F240" s="1338"/>
      <c r="G240" s="1339"/>
      <c r="H240" s="220"/>
      <c r="I240" s="220"/>
      <c r="J240" s="5"/>
      <c r="K240" s="1282"/>
      <c r="L240" s="1282"/>
      <c r="O240" s="1293"/>
      <c r="P240" s="1293"/>
      <c r="Q240" s="1293"/>
      <c r="R240" s="1293"/>
      <c r="S240" s="1293"/>
      <c r="T240" s="1293"/>
      <c r="U240" s="1293"/>
      <c r="W240" s="1293" t="str">
        <f>'🔵クレーム'!C231</f>
        <v/>
      </c>
      <c r="X240" s="1293" t="str">
        <f>'🔵クレーム'!D231</f>
        <v/>
      </c>
      <c r="Y240" s="1292" t="str">
        <f>'🔵クレーム'!I231</f>
        <v/>
      </c>
      <c r="Z240" s="1293" t="str">
        <f>'🔵クレーム'!J231</f>
        <v/>
      </c>
      <c r="AA240" s="1293" t="str">
        <f>'🔵クレーム'!K231</f>
        <v/>
      </c>
      <c r="AB240" s="1293" t="str">
        <f>'🔵クレーム'!L231</f>
        <v/>
      </c>
      <c r="AC240" s="1295" t="str">
        <f>'🔵クレーム'!N231</f>
        <v/>
      </c>
      <c r="AH240" s="274"/>
    </row>
    <row r="241">
      <c r="B241" s="1270"/>
      <c r="C241" s="1270"/>
      <c r="D241" s="1270"/>
      <c r="E241" s="1338"/>
      <c r="F241" s="1338"/>
      <c r="G241" s="1339"/>
      <c r="H241" s="220"/>
      <c r="I241" s="220"/>
      <c r="J241" s="5"/>
      <c r="K241" s="1282"/>
      <c r="L241" s="1282"/>
      <c r="O241" s="1293"/>
      <c r="P241" s="1293"/>
      <c r="Q241" s="1293"/>
      <c r="R241" s="1293"/>
      <c r="S241" s="1293"/>
      <c r="T241" s="1293"/>
      <c r="U241" s="1293"/>
      <c r="W241" s="1293" t="str">
        <f>'🔵クレーム'!C232</f>
        <v/>
      </c>
      <c r="X241" s="1293" t="str">
        <f>'🔵クレーム'!D232</f>
        <v/>
      </c>
      <c r="Y241" s="1292" t="str">
        <f>'🔵クレーム'!I232</f>
        <v/>
      </c>
      <c r="Z241" s="1293" t="str">
        <f>'🔵クレーム'!J232</f>
        <v/>
      </c>
      <c r="AA241" s="1293" t="str">
        <f>'🔵クレーム'!K232</f>
        <v/>
      </c>
      <c r="AB241" s="1293" t="str">
        <f>'🔵クレーム'!L232</f>
        <v/>
      </c>
      <c r="AC241" s="1295" t="str">
        <f>'🔵クレーム'!N232</f>
        <v/>
      </c>
      <c r="AH241" s="274"/>
    </row>
    <row r="242">
      <c r="B242" s="1270"/>
      <c r="C242" s="1270"/>
      <c r="D242" s="1270"/>
      <c r="E242" s="1338"/>
      <c r="F242" s="1338"/>
      <c r="G242" s="1339"/>
      <c r="H242" s="220"/>
      <c r="I242" s="220"/>
      <c r="J242" s="5"/>
      <c r="K242" s="1282"/>
      <c r="L242" s="1282"/>
      <c r="O242" s="1293"/>
      <c r="P242" s="1293"/>
      <c r="Q242" s="1293"/>
      <c r="R242" s="1293"/>
      <c r="S242" s="1293"/>
      <c r="T242" s="1293"/>
      <c r="U242" s="1293"/>
      <c r="W242" s="1293" t="str">
        <f>'🔵クレーム'!C233</f>
        <v/>
      </c>
      <c r="X242" s="1293" t="str">
        <f>'🔵クレーム'!D233</f>
        <v/>
      </c>
      <c r="Y242" s="1292" t="str">
        <f>'🔵クレーム'!I233</f>
        <v/>
      </c>
      <c r="Z242" s="1293" t="str">
        <f>'🔵クレーム'!J233</f>
        <v/>
      </c>
      <c r="AA242" s="1293" t="str">
        <f>'🔵クレーム'!K233</f>
        <v/>
      </c>
      <c r="AB242" s="1293" t="str">
        <f>'🔵クレーム'!L233</f>
        <v/>
      </c>
      <c r="AC242" s="1295" t="str">
        <f>'🔵クレーム'!N233</f>
        <v/>
      </c>
      <c r="AH242" s="274"/>
    </row>
    <row r="243">
      <c r="B243" s="1270"/>
      <c r="C243" s="1270"/>
      <c r="D243" s="1270"/>
      <c r="E243" s="1338"/>
      <c r="F243" s="1338"/>
      <c r="G243" s="1339"/>
      <c r="H243" s="220"/>
      <c r="I243" s="220"/>
      <c r="J243" s="5"/>
      <c r="K243" s="1282"/>
      <c r="L243" s="1282"/>
      <c r="O243" s="1293"/>
      <c r="P243" s="1293"/>
      <c r="Q243" s="1293"/>
      <c r="R243" s="1293"/>
      <c r="S243" s="1293"/>
      <c r="T243" s="1293"/>
      <c r="U243" s="1293"/>
      <c r="W243" s="1293" t="str">
        <f>'🔵クレーム'!C234</f>
        <v/>
      </c>
      <c r="X243" s="1293" t="str">
        <f>'🔵クレーム'!D234</f>
        <v/>
      </c>
      <c r="Y243" s="1292" t="str">
        <f>'🔵クレーム'!I234</f>
        <v/>
      </c>
      <c r="Z243" s="1293" t="str">
        <f>'🔵クレーム'!J234</f>
        <v/>
      </c>
      <c r="AA243" s="1293" t="str">
        <f>'🔵クレーム'!K234</f>
        <v/>
      </c>
      <c r="AB243" s="1293" t="str">
        <f>'🔵クレーム'!L234</f>
        <v/>
      </c>
      <c r="AC243" s="1295" t="str">
        <f>'🔵クレーム'!N234</f>
        <v/>
      </c>
      <c r="AH243" s="274"/>
    </row>
    <row r="244">
      <c r="B244" s="1270"/>
      <c r="C244" s="1270"/>
      <c r="D244" s="1270"/>
      <c r="E244" s="1338"/>
      <c r="F244" s="1338"/>
      <c r="G244" s="1339"/>
      <c r="H244" s="220"/>
      <c r="I244" s="220"/>
      <c r="J244" s="5"/>
      <c r="K244" s="1282"/>
      <c r="L244" s="1282"/>
      <c r="O244" s="1293"/>
      <c r="P244" s="1293"/>
      <c r="Q244" s="1293"/>
      <c r="R244" s="1293"/>
      <c r="S244" s="1293"/>
      <c r="T244" s="1293"/>
      <c r="U244" s="1293"/>
      <c r="W244" s="1293" t="str">
        <f>'🔵クレーム'!C235</f>
        <v/>
      </c>
      <c r="X244" s="1293" t="str">
        <f>'🔵クレーム'!D235</f>
        <v/>
      </c>
      <c r="Y244" s="1292" t="str">
        <f>'🔵クレーム'!I235</f>
        <v/>
      </c>
      <c r="Z244" s="1293" t="str">
        <f>'🔵クレーム'!J235</f>
        <v/>
      </c>
      <c r="AA244" s="1293" t="str">
        <f>'🔵クレーム'!K235</f>
        <v/>
      </c>
      <c r="AB244" s="1293" t="str">
        <f>'🔵クレーム'!L235</f>
        <v/>
      </c>
      <c r="AC244" s="1295" t="str">
        <f>'🔵クレーム'!N235</f>
        <v/>
      </c>
      <c r="AH244" s="274"/>
    </row>
    <row r="245">
      <c r="B245" s="1270"/>
      <c r="C245" s="1270"/>
      <c r="D245" s="1270"/>
      <c r="E245" s="1338"/>
      <c r="F245" s="1338"/>
      <c r="G245" s="1339"/>
      <c r="H245" s="220"/>
      <c r="I245" s="220"/>
      <c r="J245" s="5"/>
      <c r="K245" s="1282"/>
      <c r="L245" s="1282"/>
      <c r="O245" s="1293"/>
      <c r="P245" s="1293"/>
      <c r="Q245" s="1293"/>
      <c r="R245" s="1293"/>
      <c r="S245" s="1293"/>
      <c r="T245" s="1293"/>
      <c r="U245" s="1293"/>
      <c r="W245" s="1293" t="str">
        <f>'🔵クレーム'!C236</f>
        <v/>
      </c>
      <c r="X245" s="1293" t="str">
        <f>'🔵クレーム'!D236</f>
        <v/>
      </c>
      <c r="Y245" s="1292" t="str">
        <f>'🔵クレーム'!I236</f>
        <v/>
      </c>
      <c r="Z245" s="1293" t="str">
        <f>'🔵クレーム'!J236</f>
        <v/>
      </c>
      <c r="AA245" s="1293" t="str">
        <f>'🔵クレーム'!K236</f>
        <v/>
      </c>
      <c r="AB245" s="1293" t="str">
        <f>'🔵クレーム'!L236</f>
        <v/>
      </c>
      <c r="AC245" s="1295" t="str">
        <f>'🔵クレーム'!N236</f>
        <v/>
      </c>
      <c r="AH245" s="274"/>
    </row>
    <row r="246">
      <c r="B246" s="1270"/>
      <c r="C246" s="1270"/>
      <c r="D246" s="1270"/>
      <c r="E246" s="1338"/>
      <c r="F246" s="1338"/>
      <c r="G246" s="1339"/>
      <c r="H246" s="220"/>
      <c r="I246" s="220"/>
      <c r="J246" s="5"/>
      <c r="K246" s="1282"/>
      <c r="L246" s="1282"/>
      <c r="O246" s="1293"/>
      <c r="P246" s="1293"/>
      <c r="Q246" s="1293"/>
      <c r="R246" s="1293"/>
      <c r="S246" s="1293"/>
      <c r="T246" s="1293"/>
      <c r="U246" s="1293"/>
      <c r="W246" s="1293" t="str">
        <f>'🔵クレーム'!C237</f>
        <v/>
      </c>
      <c r="X246" s="1293" t="str">
        <f>'🔵クレーム'!D237</f>
        <v/>
      </c>
      <c r="Y246" s="1292" t="str">
        <f>'🔵クレーム'!I237</f>
        <v/>
      </c>
      <c r="Z246" s="1293" t="str">
        <f>'🔵クレーム'!J237</f>
        <v/>
      </c>
      <c r="AA246" s="1293" t="str">
        <f>'🔵クレーム'!K237</f>
        <v/>
      </c>
      <c r="AB246" s="1293" t="str">
        <f>'🔵クレーム'!L237</f>
        <v/>
      </c>
      <c r="AC246" s="1295" t="str">
        <f>'🔵クレーム'!N237</f>
        <v/>
      </c>
      <c r="AH246" s="274"/>
    </row>
    <row r="247">
      <c r="B247" s="1270"/>
      <c r="C247" s="1270"/>
      <c r="D247" s="1270"/>
      <c r="E247" s="1338"/>
      <c r="F247" s="1338"/>
      <c r="G247" s="1339"/>
      <c r="H247" s="220"/>
      <c r="I247" s="220"/>
      <c r="J247" s="5"/>
      <c r="K247" s="1282"/>
      <c r="L247" s="1282"/>
      <c r="O247" s="1293"/>
      <c r="P247" s="1293"/>
      <c r="Q247" s="1293"/>
      <c r="R247" s="1293"/>
      <c r="S247" s="1293"/>
      <c r="T247" s="1293"/>
      <c r="U247" s="1293"/>
      <c r="W247" s="1293" t="str">
        <f>'🔵クレーム'!C238</f>
        <v/>
      </c>
      <c r="X247" s="1293" t="str">
        <f>'🔵クレーム'!D238</f>
        <v/>
      </c>
      <c r="Y247" s="1292" t="str">
        <f>'🔵クレーム'!I238</f>
        <v/>
      </c>
      <c r="Z247" s="1293" t="str">
        <f>'🔵クレーム'!J238</f>
        <v/>
      </c>
      <c r="AA247" s="1293" t="str">
        <f>'🔵クレーム'!K238</f>
        <v/>
      </c>
      <c r="AB247" s="1293" t="str">
        <f>'🔵クレーム'!L238</f>
        <v/>
      </c>
      <c r="AC247" s="1295" t="str">
        <f>'🔵クレーム'!N238</f>
        <v/>
      </c>
      <c r="AH247" s="274"/>
    </row>
    <row r="248">
      <c r="B248" s="1270"/>
      <c r="C248" s="1270"/>
      <c r="D248" s="1270"/>
      <c r="E248" s="1338"/>
      <c r="F248" s="1338"/>
      <c r="G248" s="1339"/>
      <c r="H248" s="220"/>
      <c r="I248" s="220"/>
      <c r="J248" s="5"/>
      <c r="K248" s="1282"/>
      <c r="L248" s="1282"/>
      <c r="O248" s="1293"/>
      <c r="P248" s="1293"/>
      <c r="Q248" s="1293"/>
      <c r="R248" s="1293"/>
      <c r="S248" s="1293"/>
      <c r="T248" s="1293"/>
      <c r="U248" s="1293"/>
      <c r="W248" s="1293" t="str">
        <f>'🔵クレーム'!C239</f>
        <v/>
      </c>
      <c r="X248" s="1293" t="str">
        <f>'🔵クレーム'!D239</f>
        <v/>
      </c>
      <c r="Y248" s="1292" t="str">
        <f>'🔵クレーム'!I239</f>
        <v/>
      </c>
      <c r="Z248" s="1293" t="str">
        <f>'🔵クレーム'!J239</f>
        <v/>
      </c>
      <c r="AA248" s="1293" t="str">
        <f>'🔵クレーム'!K239</f>
        <v/>
      </c>
      <c r="AB248" s="1293" t="str">
        <f>'🔵クレーム'!L239</f>
        <v/>
      </c>
      <c r="AC248" s="1295" t="str">
        <f>'🔵クレーム'!N239</f>
        <v/>
      </c>
      <c r="AH248" s="274"/>
    </row>
    <row r="249">
      <c r="B249" s="1270"/>
      <c r="C249" s="1270"/>
      <c r="D249" s="1270"/>
      <c r="E249" s="1338"/>
      <c r="F249" s="1338"/>
      <c r="G249" s="1339"/>
      <c r="H249" s="220"/>
      <c r="I249" s="220"/>
      <c r="J249" s="5"/>
      <c r="K249" s="1282"/>
      <c r="L249" s="1282"/>
      <c r="O249" s="1293"/>
      <c r="P249" s="1293"/>
      <c r="Q249" s="1293"/>
      <c r="R249" s="1293"/>
      <c r="S249" s="1293"/>
      <c r="T249" s="1293"/>
      <c r="U249" s="1293"/>
      <c r="W249" s="1293" t="str">
        <f>'🔵クレーム'!C240</f>
        <v/>
      </c>
      <c r="X249" s="1293" t="str">
        <f>'🔵クレーム'!D240</f>
        <v/>
      </c>
      <c r="Y249" s="1292" t="str">
        <f>'🔵クレーム'!I240</f>
        <v/>
      </c>
      <c r="Z249" s="1293" t="str">
        <f>'🔵クレーム'!J240</f>
        <v/>
      </c>
      <c r="AA249" s="1293" t="str">
        <f>'🔵クレーム'!K240</f>
        <v/>
      </c>
      <c r="AB249" s="1293" t="str">
        <f>'🔵クレーム'!L240</f>
        <v/>
      </c>
      <c r="AC249" s="1295" t="str">
        <f>'🔵クレーム'!N240</f>
        <v/>
      </c>
      <c r="AH249" s="274"/>
    </row>
    <row r="250">
      <c r="B250" s="1270"/>
      <c r="C250" s="1270"/>
      <c r="D250" s="1270"/>
      <c r="E250" s="1338"/>
      <c r="F250" s="1338"/>
      <c r="G250" s="1339"/>
      <c r="H250" s="220"/>
      <c r="I250" s="220"/>
      <c r="J250" s="5"/>
      <c r="K250" s="1282"/>
      <c r="L250" s="1282"/>
      <c r="O250" s="1293"/>
      <c r="P250" s="1293"/>
      <c r="Q250" s="1293"/>
      <c r="R250" s="1293"/>
      <c r="S250" s="1293"/>
      <c r="T250" s="1293"/>
      <c r="U250" s="1293"/>
      <c r="W250" s="1293" t="str">
        <f>'🔵クレーム'!C241</f>
        <v/>
      </c>
      <c r="X250" s="1293" t="str">
        <f>'🔵クレーム'!D241</f>
        <v/>
      </c>
      <c r="Y250" s="1292" t="str">
        <f>'🔵クレーム'!I241</f>
        <v/>
      </c>
      <c r="Z250" s="1293" t="str">
        <f>'🔵クレーム'!J241</f>
        <v/>
      </c>
      <c r="AA250" s="1293" t="str">
        <f>'🔵クレーム'!K241</f>
        <v/>
      </c>
      <c r="AB250" s="1293" t="str">
        <f>'🔵クレーム'!L241</f>
        <v/>
      </c>
      <c r="AC250" s="1295" t="str">
        <f>'🔵クレーム'!N241</f>
        <v/>
      </c>
      <c r="AH250" s="274"/>
    </row>
    <row r="251">
      <c r="B251" s="1270"/>
      <c r="C251" s="1270"/>
      <c r="D251" s="1270"/>
      <c r="E251" s="1338"/>
      <c r="F251" s="1338"/>
      <c r="G251" s="1339"/>
      <c r="H251" s="220"/>
      <c r="I251" s="220"/>
      <c r="J251" s="5"/>
      <c r="K251" s="1282"/>
      <c r="L251" s="1282"/>
      <c r="O251" s="1293"/>
      <c r="P251" s="1293"/>
      <c r="Q251" s="1293"/>
      <c r="R251" s="1293"/>
      <c r="S251" s="1293"/>
      <c r="T251" s="1293"/>
      <c r="U251" s="1293"/>
      <c r="W251" s="1293" t="str">
        <f>'🔵クレーム'!C242</f>
        <v/>
      </c>
      <c r="X251" s="1293" t="str">
        <f>'🔵クレーム'!D242</f>
        <v/>
      </c>
      <c r="Y251" s="1292" t="str">
        <f>'🔵クレーム'!I242</f>
        <v/>
      </c>
      <c r="Z251" s="1293" t="str">
        <f>'🔵クレーム'!J242</f>
        <v/>
      </c>
      <c r="AA251" s="1293" t="str">
        <f>'🔵クレーム'!K242</f>
        <v/>
      </c>
      <c r="AB251" s="1293" t="str">
        <f>'🔵クレーム'!L242</f>
        <v/>
      </c>
      <c r="AC251" s="1295" t="str">
        <f>'🔵クレーム'!N242</f>
        <v/>
      </c>
      <c r="AH251" s="274"/>
    </row>
    <row r="252">
      <c r="B252" s="1270"/>
      <c r="C252" s="1270"/>
      <c r="D252" s="1270"/>
      <c r="E252" s="1338"/>
      <c r="F252" s="1338"/>
      <c r="G252" s="1339"/>
      <c r="H252" s="220"/>
      <c r="I252" s="220"/>
      <c r="J252" s="5"/>
      <c r="K252" s="1282"/>
      <c r="L252" s="1282"/>
      <c r="O252" s="1293"/>
      <c r="P252" s="1293"/>
      <c r="Q252" s="1293"/>
      <c r="R252" s="1293"/>
      <c r="S252" s="1293"/>
      <c r="T252" s="1293"/>
      <c r="U252" s="1293"/>
      <c r="W252" s="1293" t="str">
        <f>'🔵クレーム'!C243</f>
        <v/>
      </c>
      <c r="X252" s="1293" t="str">
        <f>'🔵クレーム'!D243</f>
        <v/>
      </c>
      <c r="Y252" s="1292" t="str">
        <f>'🔵クレーム'!I243</f>
        <v/>
      </c>
      <c r="Z252" s="1293" t="str">
        <f>'🔵クレーム'!J243</f>
        <v/>
      </c>
      <c r="AA252" s="1293" t="str">
        <f>'🔵クレーム'!K243</f>
        <v/>
      </c>
      <c r="AB252" s="1293" t="str">
        <f>'🔵クレーム'!L243</f>
        <v/>
      </c>
      <c r="AC252" s="1295" t="str">
        <f>'🔵クレーム'!N243</f>
        <v/>
      </c>
      <c r="AH252" s="274"/>
    </row>
    <row r="253">
      <c r="B253" s="1270"/>
      <c r="C253" s="1270"/>
      <c r="D253" s="1270"/>
      <c r="E253" s="1338"/>
      <c r="F253" s="1338"/>
      <c r="G253" s="1339"/>
      <c r="H253" s="220"/>
      <c r="I253" s="220"/>
      <c r="J253" s="5"/>
      <c r="K253" s="1282"/>
      <c r="L253" s="1282"/>
      <c r="O253" s="1293"/>
      <c r="P253" s="1293"/>
      <c r="Q253" s="1293"/>
      <c r="R253" s="1293"/>
      <c r="S253" s="1293"/>
      <c r="T253" s="1293"/>
      <c r="U253" s="1293"/>
      <c r="W253" s="1293" t="str">
        <f>'🔵クレーム'!C244</f>
        <v/>
      </c>
      <c r="X253" s="1293" t="str">
        <f>'🔵クレーム'!D244</f>
        <v/>
      </c>
      <c r="Y253" s="1292" t="str">
        <f>'🔵クレーム'!I244</f>
        <v/>
      </c>
      <c r="Z253" s="1293" t="str">
        <f>'🔵クレーム'!J244</f>
        <v/>
      </c>
      <c r="AA253" s="1293" t="str">
        <f>'🔵クレーム'!K244</f>
        <v/>
      </c>
      <c r="AB253" s="1293" t="str">
        <f>'🔵クレーム'!L244</f>
        <v/>
      </c>
      <c r="AC253" s="1295" t="str">
        <f>'🔵クレーム'!N244</f>
        <v/>
      </c>
      <c r="AH253" s="274"/>
    </row>
    <row r="254">
      <c r="B254" s="1270"/>
      <c r="C254" s="1270"/>
      <c r="D254" s="1270"/>
      <c r="E254" s="1338"/>
      <c r="F254" s="1338"/>
      <c r="G254" s="1339"/>
      <c r="H254" s="220"/>
      <c r="I254" s="220"/>
      <c r="J254" s="5"/>
      <c r="K254" s="1282"/>
      <c r="L254" s="1282"/>
      <c r="O254" s="1293"/>
      <c r="P254" s="1293"/>
      <c r="Q254" s="1293"/>
      <c r="R254" s="1293"/>
      <c r="S254" s="1293"/>
      <c r="T254" s="1293"/>
      <c r="U254" s="1293"/>
      <c r="W254" s="1293" t="str">
        <f>'🔵クレーム'!C245</f>
        <v/>
      </c>
      <c r="X254" s="1293" t="str">
        <f>'🔵クレーム'!D245</f>
        <v/>
      </c>
      <c r="Y254" s="1292" t="str">
        <f>'🔵クレーム'!I245</f>
        <v/>
      </c>
      <c r="Z254" s="1293" t="str">
        <f>'🔵クレーム'!J245</f>
        <v/>
      </c>
      <c r="AA254" s="1293" t="str">
        <f>'🔵クレーム'!K245</f>
        <v/>
      </c>
      <c r="AB254" s="1293" t="str">
        <f>'🔵クレーム'!L245</f>
        <v/>
      </c>
      <c r="AC254" s="1295" t="str">
        <f>'🔵クレーム'!N245</f>
        <v/>
      </c>
      <c r="AH254" s="274"/>
    </row>
    <row r="255">
      <c r="B255" s="1270"/>
      <c r="C255" s="1270"/>
      <c r="D255" s="1270"/>
      <c r="E255" s="1338"/>
      <c r="F255" s="1338"/>
      <c r="G255" s="1339"/>
      <c r="H255" s="220"/>
      <c r="I255" s="220"/>
      <c r="J255" s="5"/>
      <c r="K255" s="1282"/>
      <c r="L255" s="1282"/>
      <c r="O255" s="1293"/>
      <c r="P255" s="1293"/>
      <c r="Q255" s="1293"/>
      <c r="R255" s="1293"/>
      <c r="S255" s="1293"/>
      <c r="T255" s="1293"/>
      <c r="U255" s="1293"/>
      <c r="W255" s="1293" t="str">
        <f>'🔵クレーム'!C246</f>
        <v/>
      </c>
      <c r="X255" s="1293" t="str">
        <f>'🔵クレーム'!D246</f>
        <v/>
      </c>
      <c r="Y255" s="1292" t="str">
        <f>'🔵クレーム'!I246</f>
        <v/>
      </c>
      <c r="Z255" s="1293" t="str">
        <f>'🔵クレーム'!J246</f>
        <v/>
      </c>
      <c r="AA255" s="1293" t="str">
        <f>'🔵クレーム'!K246</f>
        <v/>
      </c>
      <c r="AB255" s="1293" t="str">
        <f>'🔵クレーム'!L246</f>
        <v/>
      </c>
      <c r="AC255" s="1295" t="str">
        <f>'🔵クレーム'!N246</f>
        <v/>
      </c>
      <c r="AH255" s="274"/>
    </row>
    <row r="256">
      <c r="B256" s="1270"/>
      <c r="C256" s="1270"/>
      <c r="D256" s="1270"/>
      <c r="E256" s="1338"/>
      <c r="F256" s="1338"/>
      <c r="G256" s="1339"/>
      <c r="H256" s="220"/>
      <c r="I256" s="220"/>
      <c r="J256" s="5"/>
      <c r="K256" s="1282"/>
      <c r="L256" s="1282"/>
      <c r="O256" s="1293"/>
      <c r="P256" s="1293"/>
      <c r="Q256" s="1293"/>
      <c r="R256" s="1293"/>
      <c r="S256" s="1293"/>
      <c r="T256" s="1293"/>
      <c r="U256" s="1293"/>
      <c r="W256" s="1293" t="str">
        <f>'🔵クレーム'!C247</f>
        <v/>
      </c>
      <c r="X256" s="1293" t="str">
        <f>'🔵クレーム'!D247</f>
        <v/>
      </c>
      <c r="Y256" s="1292" t="str">
        <f>'🔵クレーム'!I247</f>
        <v/>
      </c>
      <c r="Z256" s="1293" t="str">
        <f>'🔵クレーム'!J247</f>
        <v/>
      </c>
      <c r="AA256" s="1293" t="str">
        <f>'🔵クレーム'!K247</f>
        <v/>
      </c>
      <c r="AB256" s="1293" t="str">
        <f>'🔵クレーム'!L247</f>
        <v/>
      </c>
      <c r="AC256" s="1295" t="str">
        <f>'🔵クレーム'!N247</f>
        <v/>
      </c>
      <c r="AH256" s="274"/>
    </row>
    <row r="257">
      <c r="B257" s="1270"/>
      <c r="C257" s="1270"/>
      <c r="D257" s="1270"/>
      <c r="E257" s="1338"/>
      <c r="F257" s="1338"/>
      <c r="G257" s="1339"/>
      <c r="H257" s="220"/>
      <c r="I257" s="220"/>
      <c r="J257" s="5"/>
      <c r="K257" s="1282"/>
      <c r="L257" s="1282"/>
      <c r="O257" s="1293"/>
      <c r="P257" s="1293"/>
      <c r="Q257" s="1293"/>
      <c r="R257" s="1293"/>
      <c r="S257" s="1293"/>
      <c r="T257" s="1293"/>
      <c r="U257" s="1293"/>
      <c r="W257" s="1293" t="str">
        <f>'🔵クレーム'!C248</f>
        <v/>
      </c>
      <c r="X257" s="1293" t="str">
        <f>'🔵クレーム'!D248</f>
        <v/>
      </c>
      <c r="Y257" s="1292" t="str">
        <f>'🔵クレーム'!I248</f>
        <v/>
      </c>
      <c r="Z257" s="1293" t="str">
        <f>'🔵クレーム'!J248</f>
        <v/>
      </c>
      <c r="AA257" s="1293" t="str">
        <f>'🔵クレーム'!K248</f>
        <v/>
      </c>
      <c r="AB257" s="1293" t="str">
        <f>'🔵クレーム'!L248</f>
        <v/>
      </c>
      <c r="AC257" s="1295" t="str">
        <f>'🔵クレーム'!N248</f>
        <v/>
      </c>
      <c r="AH257" s="274"/>
    </row>
    <row r="258">
      <c r="B258" s="1270"/>
      <c r="C258" s="1270"/>
      <c r="D258" s="1270"/>
      <c r="E258" s="1338"/>
      <c r="F258" s="1338"/>
      <c r="G258" s="1339"/>
      <c r="H258" s="220"/>
      <c r="I258" s="220"/>
      <c r="J258" s="5"/>
      <c r="K258" s="1282"/>
      <c r="L258" s="1282"/>
      <c r="O258" s="1293"/>
      <c r="P258" s="1293"/>
      <c r="Q258" s="1293"/>
      <c r="R258" s="1293"/>
      <c r="S258" s="1293"/>
      <c r="T258" s="1293"/>
      <c r="U258" s="1293"/>
      <c r="W258" s="1293" t="str">
        <f>'🔵クレーム'!C249</f>
        <v/>
      </c>
      <c r="X258" s="1293" t="str">
        <f>'🔵クレーム'!D249</f>
        <v/>
      </c>
      <c r="Y258" s="1292" t="str">
        <f>'🔵クレーム'!I249</f>
        <v/>
      </c>
      <c r="Z258" s="1293" t="str">
        <f>'🔵クレーム'!J249</f>
        <v/>
      </c>
      <c r="AA258" s="1293" t="str">
        <f>'🔵クレーム'!K249</f>
        <v/>
      </c>
      <c r="AB258" s="1293" t="str">
        <f>'🔵クレーム'!L249</f>
        <v/>
      </c>
      <c r="AC258" s="1295" t="str">
        <f>'🔵クレーム'!N249</f>
        <v/>
      </c>
      <c r="AH258" s="274"/>
    </row>
    <row r="259">
      <c r="B259" s="1270"/>
      <c r="C259" s="1270"/>
      <c r="D259" s="1270"/>
      <c r="E259" s="1338"/>
      <c r="F259" s="1338"/>
      <c r="G259" s="1339"/>
      <c r="H259" s="220"/>
      <c r="I259" s="220"/>
      <c r="J259" s="5"/>
      <c r="K259" s="1282"/>
      <c r="L259" s="1282"/>
      <c r="O259" s="1293"/>
      <c r="P259" s="1293"/>
      <c r="Q259" s="1293"/>
      <c r="R259" s="1293"/>
      <c r="S259" s="1293"/>
      <c r="T259" s="1293"/>
      <c r="U259" s="1293"/>
      <c r="W259" s="1293" t="str">
        <f>'🔵クレーム'!C250</f>
        <v/>
      </c>
      <c r="X259" s="1293" t="str">
        <f>'🔵クレーム'!D250</f>
        <v/>
      </c>
      <c r="Y259" s="1292" t="str">
        <f>'🔵クレーム'!I250</f>
        <v/>
      </c>
      <c r="Z259" s="1293" t="str">
        <f>'🔵クレーム'!J250</f>
        <v/>
      </c>
      <c r="AA259" s="1293" t="str">
        <f>'🔵クレーム'!K250</f>
        <v/>
      </c>
      <c r="AB259" s="1293" t="str">
        <f>'🔵クレーム'!L250</f>
        <v/>
      </c>
      <c r="AC259" s="1295" t="str">
        <f>'🔵クレーム'!N250</f>
        <v/>
      </c>
      <c r="AH259" s="274"/>
    </row>
    <row r="260">
      <c r="B260" s="1270"/>
      <c r="C260" s="1270"/>
      <c r="D260" s="1270"/>
      <c r="E260" s="1338"/>
      <c r="F260" s="1338"/>
      <c r="G260" s="1339"/>
      <c r="H260" s="220"/>
      <c r="I260" s="220"/>
      <c r="J260" s="5"/>
      <c r="K260" s="1282"/>
      <c r="L260" s="1282"/>
      <c r="O260" s="1293"/>
      <c r="P260" s="1293"/>
      <c r="Q260" s="1293"/>
      <c r="R260" s="1293"/>
      <c r="S260" s="1293"/>
      <c r="T260" s="1293"/>
      <c r="U260" s="1293"/>
      <c r="W260" s="1293" t="str">
        <f>'🔵クレーム'!C251</f>
        <v/>
      </c>
      <c r="X260" s="1293" t="str">
        <f>'🔵クレーム'!D251</f>
        <v/>
      </c>
      <c r="Y260" s="1292" t="str">
        <f>'🔵クレーム'!I251</f>
        <v/>
      </c>
      <c r="Z260" s="1293" t="str">
        <f>'🔵クレーム'!J251</f>
        <v/>
      </c>
      <c r="AA260" s="1293" t="str">
        <f>'🔵クレーム'!K251</f>
        <v/>
      </c>
      <c r="AB260" s="1293" t="str">
        <f>'🔵クレーム'!L251</f>
        <v/>
      </c>
      <c r="AC260" s="1295" t="str">
        <f>'🔵クレーム'!N251</f>
        <v/>
      </c>
      <c r="AH260" s="274"/>
    </row>
    <row r="261">
      <c r="B261" s="1270"/>
      <c r="C261" s="1270"/>
      <c r="D261" s="1270"/>
      <c r="E261" s="1338"/>
      <c r="F261" s="1338"/>
      <c r="G261" s="1339"/>
      <c r="H261" s="220"/>
      <c r="I261" s="220"/>
      <c r="J261" s="5"/>
      <c r="K261" s="1282"/>
      <c r="L261" s="1282"/>
      <c r="O261" s="1293"/>
      <c r="P261" s="1293"/>
      <c r="Q261" s="1293"/>
      <c r="R261" s="1293"/>
      <c r="S261" s="1293"/>
      <c r="T261" s="1293"/>
      <c r="U261" s="1293"/>
      <c r="W261" s="1293" t="str">
        <f>'🔵クレーム'!C252</f>
        <v/>
      </c>
      <c r="X261" s="1293" t="str">
        <f>'🔵クレーム'!D252</f>
        <v/>
      </c>
      <c r="Y261" s="1292" t="str">
        <f>'🔵クレーム'!I252</f>
        <v/>
      </c>
      <c r="Z261" s="1293" t="str">
        <f>'🔵クレーム'!J252</f>
        <v/>
      </c>
      <c r="AA261" s="1293" t="str">
        <f>'🔵クレーム'!K252</f>
        <v/>
      </c>
      <c r="AB261" s="1293" t="str">
        <f>'🔵クレーム'!L252</f>
        <v/>
      </c>
      <c r="AC261" s="1295" t="str">
        <f>'🔵クレーム'!N252</f>
        <v/>
      </c>
      <c r="AH261" s="274"/>
    </row>
    <row r="262">
      <c r="B262" s="1270"/>
      <c r="C262" s="1270"/>
      <c r="D262" s="1270"/>
      <c r="E262" s="1338"/>
      <c r="F262" s="1338"/>
      <c r="G262" s="1339"/>
      <c r="H262" s="220"/>
      <c r="I262" s="220"/>
      <c r="J262" s="5"/>
      <c r="K262" s="1282"/>
      <c r="L262" s="1282"/>
      <c r="O262" s="1293"/>
      <c r="P262" s="1293"/>
      <c r="Q262" s="1293"/>
      <c r="R262" s="1293"/>
      <c r="S262" s="1293"/>
      <c r="T262" s="1293"/>
      <c r="U262" s="1293"/>
      <c r="W262" s="1293" t="str">
        <f>'🔵クレーム'!C253</f>
        <v/>
      </c>
      <c r="X262" s="1293" t="str">
        <f>'🔵クレーム'!D253</f>
        <v/>
      </c>
      <c r="Y262" s="1292" t="str">
        <f>'🔵クレーム'!I253</f>
        <v/>
      </c>
      <c r="Z262" s="1293" t="str">
        <f>'🔵クレーム'!J253</f>
        <v/>
      </c>
      <c r="AA262" s="1293" t="str">
        <f>'🔵クレーム'!K253</f>
        <v/>
      </c>
      <c r="AB262" s="1293" t="str">
        <f>'🔵クレーム'!L253</f>
        <v/>
      </c>
      <c r="AC262" s="1295" t="str">
        <f>'🔵クレーム'!N253</f>
        <v/>
      </c>
      <c r="AH262" s="274"/>
    </row>
    <row r="263">
      <c r="B263" s="1270"/>
      <c r="C263" s="1270"/>
      <c r="D263" s="1270"/>
      <c r="E263" s="1338"/>
      <c r="F263" s="1338"/>
      <c r="G263" s="1339"/>
      <c r="H263" s="220"/>
      <c r="I263" s="220"/>
      <c r="J263" s="5"/>
      <c r="K263" s="1282"/>
      <c r="L263" s="1282"/>
      <c r="O263" s="1293"/>
      <c r="P263" s="1293"/>
      <c r="Q263" s="1293"/>
      <c r="R263" s="1293"/>
      <c r="S263" s="1293"/>
      <c r="T263" s="1293"/>
      <c r="U263" s="1293"/>
      <c r="W263" s="1293" t="str">
        <f>'🔵クレーム'!C254</f>
        <v/>
      </c>
      <c r="X263" s="1293" t="str">
        <f>'🔵クレーム'!D254</f>
        <v/>
      </c>
      <c r="Y263" s="1292" t="str">
        <f>'🔵クレーム'!I254</f>
        <v/>
      </c>
      <c r="Z263" s="1293" t="str">
        <f>'🔵クレーム'!J254</f>
        <v/>
      </c>
      <c r="AA263" s="1293" t="str">
        <f>'🔵クレーム'!K254</f>
        <v/>
      </c>
      <c r="AB263" s="1293" t="str">
        <f>'🔵クレーム'!L254</f>
        <v/>
      </c>
      <c r="AC263" s="1295" t="str">
        <f>'🔵クレーム'!N254</f>
        <v/>
      </c>
      <c r="AH263" s="274"/>
    </row>
    <row r="264">
      <c r="B264" s="1270"/>
      <c r="C264" s="1270"/>
      <c r="D264" s="1270"/>
      <c r="E264" s="1338"/>
      <c r="F264" s="1338"/>
      <c r="G264" s="1339"/>
      <c r="H264" s="220"/>
      <c r="I264" s="220"/>
      <c r="J264" s="5"/>
      <c r="K264" s="1282"/>
      <c r="L264" s="1282"/>
      <c r="O264" s="1293"/>
      <c r="P264" s="1293"/>
      <c r="Q264" s="1293"/>
      <c r="R264" s="1293"/>
      <c r="S264" s="1293"/>
      <c r="T264" s="1293"/>
      <c r="U264" s="1293"/>
      <c r="W264" s="1293" t="str">
        <f>'🔵クレーム'!C255</f>
        <v/>
      </c>
      <c r="X264" s="1293" t="str">
        <f>'🔵クレーム'!D255</f>
        <v/>
      </c>
      <c r="Y264" s="1292" t="str">
        <f>'🔵クレーム'!I255</f>
        <v/>
      </c>
      <c r="Z264" s="1293" t="str">
        <f>'🔵クレーム'!J255</f>
        <v/>
      </c>
      <c r="AA264" s="1293" t="str">
        <f>'🔵クレーム'!K255</f>
        <v/>
      </c>
      <c r="AB264" s="1293" t="str">
        <f>'🔵クレーム'!L255</f>
        <v/>
      </c>
      <c r="AC264" s="1295" t="str">
        <f>'🔵クレーム'!N255</f>
        <v/>
      </c>
      <c r="AH264" s="274"/>
    </row>
    <row r="265">
      <c r="B265" s="1270"/>
      <c r="C265" s="1270"/>
      <c r="D265" s="1270"/>
      <c r="E265" s="1338"/>
      <c r="F265" s="1338"/>
      <c r="G265" s="1339"/>
      <c r="H265" s="220"/>
      <c r="I265" s="220"/>
      <c r="J265" s="5"/>
      <c r="K265" s="1282"/>
      <c r="L265" s="1282"/>
      <c r="O265" s="1293"/>
      <c r="P265" s="1293"/>
      <c r="Q265" s="1293"/>
      <c r="R265" s="1293"/>
      <c r="S265" s="1293"/>
      <c r="T265" s="1293"/>
      <c r="U265" s="1293"/>
      <c r="W265" s="1293" t="str">
        <f>'🔵クレーム'!C256</f>
        <v/>
      </c>
      <c r="X265" s="1293" t="str">
        <f>'🔵クレーム'!D256</f>
        <v/>
      </c>
      <c r="Y265" s="1292" t="str">
        <f>'🔵クレーム'!I256</f>
        <v/>
      </c>
      <c r="Z265" s="1293" t="str">
        <f>'🔵クレーム'!J256</f>
        <v/>
      </c>
      <c r="AA265" s="1293" t="str">
        <f>'🔵クレーム'!K256</f>
        <v/>
      </c>
      <c r="AB265" s="1293" t="str">
        <f>'🔵クレーム'!L256</f>
        <v/>
      </c>
      <c r="AC265" s="1295" t="str">
        <f>'🔵クレーム'!N256</f>
        <v/>
      </c>
      <c r="AH265" s="274"/>
    </row>
    <row r="266">
      <c r="B266" s="1270"/>
      <c r="C266" s="1270"/>
      <c r="D266" s="1270"/>
      <c r="E266" s="1338"/>
      <c r="F266" s="1338"/>
      <c r="G266" s="1339"/>
      <c r="H266" s="220"/>
      <c r="I266" s="220"/>
      <c r="J266" s="5"/>
      <c r="K266" s="1282"/>
      <c r="L266" s="1282"/>
      <c r="O266" s="1293"/>
      <c r="P266" s="1293"/>
      <c r="Q266" s="1293"/>
      <c r="R266" s="1293"/>
      <c r="S266" s="1293"/>
      <c r="T266" s="1293"/>
      <c r="U266" s="1293"/>
      <c r="W266" s="1293" t="str">
        <f>'🔵クレーム'!C257</f>
        <v/>
      </c>
      <c r="X266" s="1293" t="str">
        <f>'🔵クレーム'!D257</f>
        <v/>
      </c>
      <c r="Y266" s="1292" t="str">
        <f>'🔵クレーム'!I257</f>
        <v/>
      </c>
      <c r="Z266" s="1293" t="str">
        <f>'🔵クレーム'!J257</f>
        <v/>
      </c>
      <c r="AA266" s="1293" t="str">
        <f>'🔵クレーム'!K257</f>
        <v/>
      </c>
      <c r="AB266" s="1293" t="str">
        <f>'🔵クレーム'!L257</f>
        <v/>
      </c>
      <c r="AC266" s="1295" t="str">
        <f>'🔵クレーム'!N257</f>
        <v/>
      </c>
      <c r="AH266" s="274"/>
    </row>
    <row r="267">
      <c r="B267" s="1270"/>
      <c r="C267" s="1270"/>
      <c r="D267" s="1270"/>
      <c r="E267" s="1338"/>
      <c r="F267" s="1338"/>
      <c r="G267" s="1339"/>
      <c r="H267" s="220"/>
      <c r="I267" s="220"/>
      <c r="J267" s="5"/>
      <c r="K267" s="1282"/>
      <c r="L267" s="1282"/>
      <c r="O267" s="1293"/>
      <c r="P267" s="1293"/>
      <c r="Q267" s="1293"/>
      <c r="R267" s="1293"/>
      <c r="S267" s="1293"/>
      <c r="T267" s="1293"/>
      <c r="U267" s="1293"/>
      <c r="W267" s="1293" t="str">
        <f>'🔵クレーム'!C258</f>
        <v/>
      </c>
      <c r="X267" s="1293" t="str">
        <f>'🔵クレーム'!D258</f>
        <v/>
      </c>
      <c r="Y267" s="1292" t="str">
        <f>'🔵クレーム'!I258</f>
        <v/>
      </c>
      <c r="Z267" s="1293" t="str">
        <f>'🔵クレーム'!J258</f>
        <v/>
      </c>
      <c r="AA267" s="1293" t="str">
        <f>'🔵クレーム'!K258</f>
        <v/>
      </c>
      <c r="AB267" s="1293" t="str">
        <f>'🔵クレーム'!L258</f>
        <v/>
      </c>
      <c r="AC267" s="1295" t="str">
        <f>'🔵クレーム'!N258</f>
        <v/>
      </c>
      <c r="AH267" s="274"/>
    </row>
    <row r="268">
      <c r="B268" s="1270"/>
      <c r="C268" s="1270"/>
      <c r="D268" s="1270"/>
      <c r="E268" s="1338"/>
      <c r="F268" s="1338"/>
      <c r="G268" s="1339"/>
      <c r="H268" s="220"/>
      <c r="I268" s="220"/>
      <c r="J268" s="5"/>
      <c r="K268" s="1282"/>
      <c r="L268" s="1282"/>
      <c r="O268" s="1293"/>
      <c r="P268" s="1293"/>
      <c r="Q268" s="1293"/>
      <c r="R268" s="1293"/>
      <c r="S268" s="1293"/>
      <c r="T268" s="1293"/>
      <c r="U268" s="1293"/>
      <c r="W268" s="1293" t="str">
        <f>'🔵クレーム'!C259</f>
        <v/>
      </c>
      <c r="X268" s="1293" t="str">
        <f>'🔵クレーム'!D259</f>
        <v/>
      </c>
      <c r="Y268" s="1292" t="str">
        <f>'🔵クレーム'!I259</f>
        <v/>
      </c>
      <c r="Z268" s="1293" t="str">
        <f>'🔵クレーム'!J259</f>
        <v/>
      </c>
      <c r="AA268" s="1293" t="str">
        <f>'🔵クレーム'!K259</f>
        <v/>
      </c>
      <c r="AB268" s="1293" t="str">
        <f>'🔵クレーム'!L259</f>
        <v/>
      </c>
      <c r="AC268" s="1295" t="str">
        <f>'🔵クレーム'!N259</f>
        <v/>
      </c>
      <c r="AH268" s="274"/>
    </row>
    <row r="269">
      <c r="B269" s="1270"/>
      <c r="C269" s="1270"/>
      <c r="D269" s="1270"/>
      <c r="E269" s="1338"/>
      <c r="F269" s="1338"/>
      <c r="G269" s="1339"/>
      <c r="H269" s="220"/>
      <c r="I269" s="220"/>
      <c r="J269" s="5"/>
      <c r="K269" s="1282"/>
      <c r="L269" s="1282"/>
      <c r="O269" s="1293"/>
      <c r="P269" s="1293"/>
      <c r="Q269" s="1293"/>
      <c r="R269" s="1293"/>
      <c r="S269" s="1293"/>
      <c r="T269" s="1293"/>
      <c r="U269" s="1293"/>
      <c r="W269" s="1293" t="str">
        <f>'🔵クレーム'!C260</f>
        <v/>
      </c>
      <c r="X269" s="1293" t="str">
        <f>'🔵クレーム'!D260</f>
        <v/>
      </c>
      <c r="Y269" s="1292" t="str">
        <f>'🔵クレーム'!I260</f>
        <v/>
      </c>
      <c r="Z269" s="1293" t="str">
        <f>'🔵クレーム'!J260</f>
        <v/>
      </c>
      <c r="AA269" s="1293" t="str">
        <f>'🔵クレーム'!K260</f>
        <v/>
      </c>
      <c r="AB269" s="1293" t="str">
        <f>'🔵クレーム'!L260</f>
        <v/>
      </c>
      <c r="AC269" s="1295" t="str">
        <f>'🔵クレーム'!N260</f>
        <v/>
      </c>
      <c r="AH269" s="274"/>
    </row>
    <row r="270">
      <c r="B270" s="1270"/>
      <c r="C270" s="1270"/>
      <c r="D270" s="1270"/>
      <c r="E270" s="1338"/>
      <c r="F270" s="1338"/>
      <c r="G270" s="1339"/>
      <c r="H270" s="220"/>
      <c r="I270" s="220"/>
      <c r="J270" s="5"/>
      <c r="K270" s="1282"/>
      <c r="L270" s="1282"/>
      <c r="O270" s="1293"/>
      <c r="P270" s="1293"/>
      <c r="Q270" s="1293"/>
      <c r="R270" s="1293"/>
      <c r="S270" s="1293"/>
      <c r="T270" s="1293"/>
      <c r="U270" s="1293"/>
      <c r="W270" s="1293" t="str">
        <f>'🔵クレーム'!C261</f>
        <v/>
      </c>
      <c r="X270" s="1293" t="str">
        <f>'🔵クレーム'!D261</f>
        <v/>
      </c>
      <c r="Y270" s="1292" t="str">
        <f>'🔵クレーム'!I261</f>
        <v/>
      </c>
      <c r="Z270" s="1293" t="str">
        <f>'🔵クレーム'!J261</f>
        <v/>
      </c>
      <c r="AA270" s="1293" t="str">
        <f>'🔵クレーム'!K261</f>
        <v/>
      </c>
      <c r="AB270" s="1293" t="str">
        <f>'🔵クレーム'!L261</f>
        <v/>
      </c>
      <c r="AC270" s="1295" t="str">
        <f>'🔵クレーム'!N261</f>
        <v/>
      </c>
      <c r="AH270" s="274"/>
    </row>
    <row r="271">
      <c r="B271" s="1270"/>
      <c r="C271" s="1270"/>
      <c r="D271" s="1270"/>
      <c r="E271" s="1338"/>
      <c r="F271" s="1338"/>
      <c r="G271" s="1339"/>
      <c r="H271" s="220"/>
      <c r="I271" s="220"/>
      <c r="J271" s="5"/>
      <c r="K271" s="1282"/>
      <c r="L271" s="1282"/>
      <c r="O271" s="1293"/>
      <c r="P271" s="1293"/>
      <c r="Q271" s="1293"/>
      <c r="R271" s="1293"/>
      <c r="S271" s="1293"/>
      <c r="T271" s="1293"/>
      <c r="U271" s="1293"/>
      <c r="W271" s="1293" t="str">
        <f>'🔵クレーム'!C262</f>
        <v/>
      </c>
      <c r="X271" s="1293" t="str">
        <f>'🔵クレーム'!D262</f>
        <v/>
      </c>
      <c r="Y271" s="1292" t="str">
        <f>'🔵クレーム'!I262</f>
        <v/>
      </c>
      <c r="Z271" s="1293" t="str">
        <f>'🔵クレーム'!J262</f>
        <v/>
      </c>
      <c r="AA271" s="1293" t="str">
        <f>'🔵クレーム'!K262</f>
        <v/>
      </c>
      <c r="AB271" s="1293" t="str">
        <f>'🔵クレーム'!L262</f>
        <v/>
      </c>
      <c r="AC271" s="1295" t="str">
        <f>'🔵クレーム'!N262</f>
        <v/>
      </c>
      <c r="AH271" s="274"/>
    </row>
    <row r="272">
      <c r="B272" s="1270"/>
      <c r="C272" s="1270"/>
      <c r="D272" s="1270"/>
      <c r="E272" s="1338"/>
      <c r="F272" s="1338"/>
      <c r="G272" s="1339"/>
      <c r="H272" s="220"/>
      <c r="I272" s="220"/>
      <c r="J272" s="5"/>
      <c r="K272" s="1282"/>
      <c r="L272" s="1282"/>
      <c r="O272" s="1293"/>
      <c r="P272" s="1293"/>
      <c r="Q272" s="1293"/>
      <c r="R272" s="1293"/>
      <c r="S272" s="1293"/>
      <c r="T272" s="1293"/>
      <c r="U272" s="1293"/>
      <c r="W272" s="1293" t="str">
        <f>'🔵クレーム'!C263</f>
        <v/>
      </c>
      <c r="X272" s="1293" t="str">
        <f>'🔵クレーム'!D263</f>
        <v/>
      </c>
      <c r="Y272" s="1292" t="str">
        <f>'🔵クレーム'!I263</f>
        <v/>
      </c>
      <c r="Z272" s="1293" t="str">
        <f>'🔵クレーム'!J263</f>
        <v/>
      </c>
      <c r="AA272" s="1293" t="str">
        <f>'🔵クレーム'!K263</f>
        <v/>
      </c>
      <c r="AB272" s="1293" t="str">
        <f>'🔵クレーム'!L263</f>
        <v/>
      </c>
      <c r="AC272" s="1295" t="str">
        <f>'🔵クレーム'!N263</f>
        <v/>
      </c>
      <c r="AH272" s="274"/>
    </row>
    <row r="273">
      <c r="B273" s="1270"/>
      <c r="C273" s="1270"/>
      <c r="D273" s="1270"/>
      <c r="E273" s="1338"/>
      <c r="F273" s="1338"/>
      <c r="G273" s="1339"/>
      <c r="H273" s="220"/>
      <c r="I273" s="220"/>
      <c r="J273" s="5"/>
      <c r="K273" s="1282"/>
      <c r="L273" s="1282"/>
      <c r="O273" s="1293"/>
      <c r="P273" s="1293"/>
      <c r="Q273" s="1293"/>
      <c r="R273" s="1293"/>
      <c r="S273" s="1293"/>
      <c r="T273" s="1293"/>
      <c r="U273" s="1293"/>
      <c r="W273" s="1293" t="str">
        <f>'🔵クレーム'!C264</f>
        <v/>
      </c>
      <c r="X273" s="1293" t="str">
        <f>'🔵クレーム'!D264</f>
        <v/>
      </c>
      <c r="Y273" s="1292" t="str">
        <f>'🔵クレーム'!I264</f>
        <v/>
      </c>
      <c r="Z273" s="1293" t="str">
        <f>'🔵クレーム'!J264</f>
        <v/>
      </c>
      <c r="AA273" s="1293" t="str">
        <f>'🔵クレーム'!K264</f>
        <v/>
      </c>
      <c r="AB273" s="1293" t="str">
        <f>'🔵クレーム'!L264</f>
        <v/>
      </c>
      <c r="AC273" s="1295" t="str">
        <f>'🔵クレーム'!N264</f>
        <v/>
      </c>
      <c r="AH273" s="274"/>
    </row>
    <row r="274">
      <c r="B274" s="1270"/>
      <c r="C274" s="1270"/>
      <c r="D274" s="1270"/>
      <c r="E274" s="1338"/>
      <c r="F274" s="1338"/>
      <c r="G274" s="1339"/>
      <c r="H274" s="220"/>
      <c r="I274" s="220"/>
      <c r="J274" s="5"/>
      <c r="K274" s="1282"/>
      <c r="L274" s="1282"/>
      <c r="O274" s="1293"/>
      <c r="P274" s="1293"/>
      <c r="Q274" s="1293"/>
      <c r="R274" s="1293"/>
      <c r="S274" s="1293"/>
      <c r="T274" s="1293"/>
      <c r="U274" s="1293"/>
      <c r="W274" s="1293" t="str">
        <f>'🔵クレーム'!C265</f>
        <v/>
      </c>
      <c r="X274" s="1293" t="str">
        <f>'🔵クレーム'!D265</f>
        <v/>
      </c>
      <c r="Y274" s="1292" t="str">
        <f>'🔵クレーム'!I265</f>
        <v/>
      </c>
      <c r="Z274" s="1293" t="str">
        <f>'🔵クレーム'!J265</f>
        <v/>
      </c>
      <c r="AA274" s="1293" t="str">
        <f>'🔵クレーム'!K265</f>
        <v/>
      </c>
      <c r="AB274" s="1293" t="str">
        <f>'🔵クレーム'!L265</f>
        <v/>
      </c>
      <c r="AC274" s="1295" t="str">
        <f>'🔵クレーム'!N265</f>
        <v/>
      </c>
      <c r="AH274" s="274"/>
    </row>
    <row r="275">
      <c r="B275" s="1270"/>
      <c r="C275" s="1270"/>
      <c r="D275" s="1270"/>
      <c r="E275" s="1338"/>
      <c r="F275" s="1338"/>
      <c r="G275" s="1339"/>
      <c r="H275" s="220"/>
      <c r="I275" s="220"/>
      <c r="J275" s="5"/>
      <c r="K275" s="1282"/>
      <c r="L275" s="1282"/>
      <c r="O275" s="1293"/>
      <c r="P275" s="1293"/>
      <c r="Q275" s="1293"/>
      <c r="R275" s="1293"/>
      <c r="S275" s="1293"/>
      <c r="T275" s="1293"/>
      <c r="U275" s="1293"/>
      <c r="W275" s="1293" t="str">
        <f>'🔵クレーム'!C266</f>
        <v/>
      </c>
      <c r="X275" s="1293" t="str">
        <f>'🔵クレーム'!D266</f>
        <v/>
      </c>
      <c r="Y275" s="1292" t="str">
        <f>'🔵クレーム'!I266</f>
        <v/>
      </c>
      <c r="Z275" s="1293" t="str">
        <f>'🔵クレーム'!J266</f>
        <v/>
      </c>
      <c r="AA275" s="1293" t="str">
        <f>'🔵クレーム'!K266</f>
        <v/>
      </c>
      <c r="AB275" s="1293" t="str">
        <f>'🔵クレーム'!L266</f>
        <v/>
      </c>
      <c r="AC275" s="1295" t="str">
        <f>'🔵クレーム'!N266</f>
        <v/>
      </c>
      <c r="AH275" s="274"/>
    </row>
    <row r="276">
      <c r="B276" s="1270"/>
      <c r="C276" s="1270"/>
      <c r="D276" s="1270"/>
      <c r="E276" s="1338"/>
      <c r="F276" s="1338"/>
      <c r="G276" s="1339"/>
      <c r="H276" s="220"/>
      <c r="I276" s="220"/>
      <c r="J276" s="5"/>
      <c r="K276" s="1282"/>
      <c r="L276" s="1282"/>
      <c r="O276" s="1293"/>
      <c r="P276" s="1293"/>
      <c r="Q276" s="1293"/>
      <c r="R276" s="1293"/>
      <c r="S276" s="1293"/>
      <c r="T276" s="1293"/>
      <c r="U276" s="1293"/>
      <c r="W276" s="1293" t="str">
        <f>'🔵クレーム'!C267</f>
        <v/>
      </c>
      <c r="X276" s="1293" t="str">
        <f>'🔵クレーム'!D267</f>
        <v/>
      </c>
      <c r="Y276" s="1292" t="str">
        <f>'🔵クレーム'!I267</f>
        <v/>
      </c>
      <c r="Z276" s="1293" t="str">
        <f>'🔵クレーム'!J267</f>
        <v/>
      </c>
      <c r="AA276" s="1293" t="str">
        <f>'🔵クレーム'!K267</f>
        <v/>
      </c>
      <c r="AB276" s="1293" t="str">
        <f>'🔵クレーム'!L267</f>
        <v/>
      </c>
      <c r="AC276" s="1295" t="str">
        <f>'🔵クレーム'!N267</f>
        <v/>
      </c>
      <c r="AH276" s="274"/>
    </row>
    <row r="277">
      <c r="B277" s="1270"/>
      <c r="C277" s="1270"/>
      <c r="D277" s="1270"/>
      <c r="E277" s="1338"/>
      <c r="F277" s="1338"/>
      <c r="G277" s="1339"/>
      <c r="H277" s="220"/>
      <c r="I277" s="220"/>
      <c r="J277" s="5"/>
      <c r="K277" s="1282"/>
      <c r="L277" s="1282"/>
      <c r="O277" s="1293"/>
      <c r="P277" s="1293"/>
      <c r="Q277" s="1293"/>
      <c r="R277" s="1293"/>
      <c r="S277" s="1293"/>
      <c r="T277" s="1293"/>
      <c r="U277" s="1293"/>
      <c r="W277" s="1293" t="str">
        <f>'🔵クレーム'!C268</f>
        <v/>
      </c>
      <c r="X277" s="1293" t="str">
        <f>'🔵クレーム'!D268</f>
        <v/>
      </c>
      <c r="Y277" s="1292" t="str">
        <f>'🔵クレーム'!I268</f>
        <v/>
      </c>
      <c r="Z277" s="1293" t="str">
        <f>'🔵クレーム'!J268</f>
        <v/>
      </c>
      <c r="AA277" s="1293" t="str">
        <f>'🔵クレーム'!K268</f>
        <v/>
      </c>
      <c r="AB277" s="1293" t="str">
        <f>'🔵クレーム'!L268</f>
        <v/>
      </c>
      <c r="AC277" s="1295" t="str">
        <f>'🔵クレーム'!N268</f>
        <v/>
      </c>
      <c r="AH277" s="274"/>
    </row>
    <row r="278">
      <c r="B278" s="1270"/>
      <c r="C278" s="1270"/>
      <c r="D278" s="1270"/>
      <c r="E278" s="1338"/>
      <c r="F278" s="1338"/>
      <c r="G278" s="1339"/>
      <c r="H278" s="220"/>
      <c r="I278" s="220"/>
      <c r="J278" s="5"/>
      <c r="K278" s="1282"/>
      <c r="L278" s="1282"/>
      <c r="O278" s="1293"/>
      <c r="P278" s="1293"/>
      <c r="Q278" s="1293"/>
      <c r="R278" s="1293"/>
      <c r="S278" s="1293"/>
      <c r="T278" s="1293"/>
      <c r="U278" s="1293"/>
      <c r="W278" s="1293" t="str">
        <f>'🔵クレーム'!C269</f>
        <v/>
      </c>
      <c r="X278" s="1293" t="str">
        <f>'🔵クレーム'!D269</f>
        <v/>
      </c>
      <c r="Y278" s="1292" t="str">
        <f>'🔵クレーム'!I269</f>
        <v/>
      </c>
      <c r="Z278" s="1293" t="str">
        <f>'🔵クレーム'!J269</f>
        <v/>
      </c>
      <c r="AA278" s="1293" t="str">
        <f>'🔵クレーム'!K269</f>
        <v/>
      </c>
      <c r="AB278" s="1293" t="str">
        <f>'🔵クレーム'!L269</f>
        <v/>
      </c>
      <c r="AC278" s="1295" t="str">
        <f>'🔵クレーム'!N269</f>
        <v/>
      </c>
      <c r="AH278" s="274"/>
    </row>
    <row r="279">
      <c r="B279" s="1270"/>
      <c r="C279" s="1270"/>
      <c r="D279" s="1270"/>
      <c r="E279" s="1338"/>
      <c r="F279" s="1338"/>
      <c r="G279" s="1339"/>
      <c r="H279" s="220"/>
      <c r="I279" s="220"/>
      <c r="J279" s="5"/>
      <c r="K279" s="1282"/>
      <c r="L279" s="1282"/>
      <c r="O279" s="1293"/>
      <c r="P279" s="1293"/>
      <c r="Q279" s="1293"/>
      <c r="R279" s="1293"/>
      <c r="S279" s="1293"/>
      <c r="T279" s="1293"/>
      <c r="U279" s="1293"/>
      <c r="W279" s="1293" t="str">
        <f>'🔵クレーム'!C270</f>
        <v/>
      </c>
      <c r="X279" s="1293" t="str">
        <f>'🔵クレーム'!D270</f>
        <v/>
      </c>
      <c r="Y279" s="1292" t="str">
        <f>'🔵クレーム'!I270</f>
        <v/>
      </c>
      <c r="Z279" s="1293" t="str">
        <f>'🔵クレーム'!J270</f>
        <v/>
      </c>
      <c r="AA279" s="1293" t="str">
        <f>'🔵クレーム'!K270</f>
        <v/>
      </c>
      <c r="AB279" s="1293" t="str">
        <f>'🔵クレーム'!L270</f>
        <v/>
      </c>
      <c r="AC279" s="1295" t="str">
        <f>'🔵クレーム'!N270</f>
        <v/>
      </c>
      <c r="AH279" s="274"/>
    </row>
    <row r="280">
      <c r="B280" s="1270"/>
      <c r="C280" s="1270"/>
      <c r="D280" s="1270"/>
      <c r="E280" s="1338"/>
      <c r="F280" s="1338"/>
      <c r="G280" s="1339"/>
      <c r="H280" s="220"/>
      <c r="I280" s="220"/>
      <c r="J280" s="5"/>
      <c r="K280" s="1282"/>
      <c r="L280" s="1282"/>
      <c r="O280" s="1293"/>
      <c r="P280" s="1293"/>
      <c r="Q280" s="1293"/>
      <c r="R280" s="1293"/>
      <c r="S280" s="1293"/>
      <c r="T280" s="1293"/>
      <c r="U280" s="1293"/>
      <c r="W280" s="1293" t="str">
        <f>'🔵クレーム'!C271</f>
        <v/>
      </c>
      <c r="X280" s="1293" t="str">
        <f>'🔵クレーム'!D271</f>
        <v/>
      </c>
      <c r="Y280" s="1292" t="str">
        <f>'🔵クレーム'!I271</f>
        <v/>
      </c>
      <c r="Z280" s="1293" t="str">
        <f>'🔵クレーム'!J271</f>
        <v/>
      </c>
      <c r="AA280" s="1293" t="str">
        <f>'🔵クレーム'!K271</f>
        <v/>
      </c>
      <c r="AB280" s="1293" t="str">
        <f>'🔵クレーム'!L271</f>
        <v/>
      </c>
      <c r="AC280" s="1295" t="str">
        <f>'🔵クレーム'!N271</f>
        <v/>
      </c>
      <c r="AH280" s="274"/>
    </row>
    <row r="281">
      <c r="B281" s="1270"/>
      <c r="C281" s="1270"/>
      <c r="D281" s="1270"/>
      <c r="E281" s="1338"/>
      <c r="F281" s="1338"/>
      <c r="G281" s="1339"/>
      <c r="H281" s="220"/>
      <c r="I281" s="220"/>
      <c r="J281" s="5"/>
      <c r="K281" s="1282"/>
      <c r="L281" s="1282"/>
      <c r="O281" s="1293"/>
      <c r="P281" s="1293"/>
      <c r="Q281" s="1293"/>
      <c r="R281" s="1293"/>
      <c r="S281" s="1293"/>
      <c r="T281" s="1293"/>
      <c r="U281" s="1293"/>
      <c r="W281" s="1293" t="str">
        <f>'🔵クレーム'!C272</f>
        <v/>
      </c>
      <c r="X281" s="1293" t="str">
        <f>'🔵クレーム'!D272</f>
        <v/>
      </c>
      <c r="Y281" s="1292" t="str">
        <f>'🔵クレーム'!I272</f>
        <v/>
      </c>
      <c r="Z281" s="1293" t="str">
        <f>'🔵クレーム'!J272</f>
        <v/>
      </c>
      <c r="AA281" s="1293" t="str">
        <f>'🔵クレーム'!K272</f>
        <v/>
      </c>
      <c r="AB281" s="1293" t="str">
        <f>'🔵クレーム'!L272</f>
        <v/>
      </c>
      <c r="AC281" s="1295" t="str">
        <f>'🔵クレーム'!N272</f>
        <v/>
      </c>
      <c r="AH281" s="274"/>
    </row>
    <row r="282">
      <c r="B282" s="1270"/>
      <c r="C282" s="1270"/>
      <c r="D282" s="1270"/>
      <c r="E282" s="1338"/>
      <c r="F282" s="1338"/>
      <c r="G282" s="1339"/>
      <c r="H282" s="220"/>
      <c r="I282" s="220"/>
      <c r="J282" s="5"/>
      <c r="K282" s="1282"/>
      <c r="L282" s="1282"/>
      <c r="O282" s="1293"/>
      <c r="P282" s="1293"/>
      <c r="Q282" s="1293"/>
      <c r="R282" s="1293"/>
      <c r="S282" s="1293"/>
      <c r="T282" s="1293"/>
      <c r="U282" s="1293"/>
      <c r="W282" s="1293" t="str">
        <f>'🔵クレーム'!C273</f>
        <v/>
      </c>
      <c r="X282" s="1293" t="str">
        <f>'🔵クレーム'!D273</f>
        <v/>
      </c>
      <c r="Y282" s="1292" t="str">
        <f>'🔵クレーム'!I273</f>
        <v/>
      </c>
      <c r="Z282" s="1293" t="str">
        <f>'🔵クレーム'!J273</f>
        <v/>
      </c>
      <c r="AA282" s="1293" t="str">
        <f>'🔵クレーム'!K273</f>
        <v/>
      </c>
      <c r="AB282" s="1293" t="str">
        <f>'🔵クレーム'!L273</f>
        <v/>
      </c>
      <c r="AC282" s="1295" t="str">
        <f>'🔵クレーム'!N273</f>
        <v/>
      </c>
      <c r="AH282" s="274"/>
    </row>
    <row r="283">
      <c r="B283" s="1270"/>
      <c r="C283" s="1270"/>
      <c r="D283" s="1270"/>
      <c r="E283" s="1338"/>
      <c r="F283" s="1338"/>
      <c r="G283" s="1339"/>
      <c r="H283" s="220"/>
      <c r="I283" s="220"/>
      <c r="J283" s="5"/>
      <c r="K283" s="1282"/>
      <c r="L283" s="1282"/>
      <c r="O283" s="1293"/>
      <c r="P283" s="1293"/>
      <c r="Q283" s="1293"/>
      <c r="R283" s="1293"/>
      <c r="S283" s="1293"/>
      <c r="T283" s="1293"/>
      <c r="U283" s="1293"/>
      <c r="W283" s="1293" t="str">
        <f>'🔵クレーム'!C274</f>
        <v/>
      </c>
      <c r="X283" s="1293" t="str">
        <f>'🔵クレーム'!D274</f>
        <v/>
      </c>
      <c r="Y283" s="1292" t="str">
        <f>'🔵クレーム'!I274</f>
        <v/>
      </c>
      <c r="Z283" s="1293" t="str">
        <f>'🔵クレーム'!J274</f>
        <v/>
      </c>
      <c r="AA283" s="1293" t="str">
        <f>'🔵クレーム'!K274</f>
        <v/>
      </c>
      <c r="AB283" s="1293" t="str">
        <f>'🔵クレーム'!L274</f>
        <v/>
      </c>
      <c r="AC283" s="1295" t="str">
        <f>'🔵クレーム'!N274</f>
        <v/>
      </c>
      <c r="AH283" s="274"/>
    </row>
    <row r="284">
      <c r="B284" s="1270"/>
      <c r="C284" s="1270"/>
      <c r="D284" s="1270"/>
      <c r="E284" s="1338"/>
      <c r="F284" s="1338"/>
      <c r="G284" s="1339"/>
      <c r="H284" s="220"/>
      <c r="I284" s="220"/>
      <c r="J284" s="5"/>
      <c r="K284" s="1282"/>
      <c r="L284" s="1282"/>
      <c r="O284" s="1293"/>
      <c r="P284" s="1293"/>
      <c r="Q284" s="1293"/>
      <c r="R284" s="1293"/>
      <c r="S284" s="1293"/>
      <c r="T284" s="1293"/>
      <c r="U284" s="1293"/>
      <c r="W284" s="1293" t="str">
        <f>'🔵クレーム'!C275</f>
        <v/>
      </c>
      <c r="X284" s="1293" t="str">
        <f>'🔵クレーム'!D275</f>
        <v/>
      </c>
      <c r="Y284" s="1292" t="str">
        <f>'🔵クレーム'!I275</f>
        <v/>
      </c>
      <c r="Z284" s="1293" t="str">
        <f>'🔵クレーム'!J275</f>
        <v/>
      </c>
      <c r="AA284" s="1293" t="str">
        <f>'🔵クレーム'!K275</f>
        <v/>
      </c>
      <c r="AB284" s="1293" t="str">
        <f>'🔵クレーム'!L275</f>
        <v/>
      </c>
      <c r="AC284" s="1295" t="str">
        <f>'🔵クレーム'!N275</f>
        <v/>
      </c>
      <c r="AH284" s="274"/>
    </row>
    <row r="285">
      <c r="B285" s="1270"/>
      <c r="C285" s="1270"/>
      <c r="D285" s="1270"/>
      <c r="E285" s="1338"/>
      <c r="F285" s="1338"/>
      <c r="G285" s="1339"/>
      <c r="H285" s="220"/>
      <c r="I285" s="220"/>
      <c r="J285" s="5"/>
      <c r="K285" s="1282"/>
      <c r="L285" s="1282"/>
      <c r="O285" s="1293"/>
      <c r="P285" s="1293"/>
      <c r="Q285" s="1293"/>
      <c r="R285" s="1293"/>
      <c r="S285" s="1293"/>
      <c r="T285" s="1293"/>
      <c r="U285" s="1293"/>
      <c r="W285" s="1293" t="str">
        <f>'🔵クレーム'!C276</f>
        <v/>
      </c>
      <c r="X285" s="1293" t="str">
        <f>'🔵クレーム'!D276</f>
        <v/>
      </c>
      <c r="Y285" s="1292" t="str">
        <f>'🔵クレーム'!I276</f>
        <v/>
      </c>
      <c r="Z285" s="1293" t="str">
        <f>'🔵クレーム'!J276</f>
        <v/>
      </c>
      <c r="AA285" s="1293" t="str">
        <f>'🔵クレーム'!K276</f>
        <v/>
      </c>
      <c r="AB285" s="1293" t="str">
        <f>'🔵クレーム'!L276</f>
        <v/>
      </c>
      <c r="AC285" s="1295" t="str">
        <f>'🔵クレーム'!N276</f>
        <v/>
      </c>
      <c r="AH285" s="274"/>
    </row>
    <row r="286">
      <c r="B286" s="1270"/>
      <c r="C286" s="1270"/>
      <c r="D286" s="1270"/>
      <c r="E286" s="1338"/>
      <c r="F286" s="1338"/>
      <c r="G286" s="1339"/>
      <c r="H286" s="220"/>
      <c r="I286" s="220"/>
      <c r="J286" s="5"/>
      <c r="K286" s="1282"/>
      <c r="L286" s="1282"/>
      <c r="O286" s="1293"/>
      <c r="P286" s="1293"/>
      <c r="Q286" s="1293"/>
      <c r="R286" s="1293"/>
      <c r="S286" s="1293"/>
      <c r="T286" s="1293"/>
      <c r="U286" s="1293"/>
      <c r="W286" s="1293" t="str">
        <f>'🔵クレーム'!C277</f>
        <v/>
      </c>
      <c r="X286" s="1293" t="str">
        <f>'🔵クレーム'!D277</f>
        <v/>
      </c>
      <c r="Y286" s="1292" t="str">
        <f>'🔵クレーム'!I277</f>
        <v/>
      </c>
      <c r="Z286" s="1293" t="str">
        <f>'🔵クレーム'!J277</f>
        <v/>
      </c>
      <c r="AA286" s="1293" t="str">
        <f>'🔵クレーム'!K277</f>
        <v/>
      </c>
      <c r="AB286" s="1293" t="str">
        <f>'🔵クレーム'!L277</f>
        <v/>
      </c>
      <c r="AC286" s="1295" t="str">
        <f>'🔵クレーム'!N277</f>
        <v/>
      </c>
      <c r="AH286" s="274"/>
    </row>
    <row r="287">
      <c r="B287" s="1270"/>
      <c r="C287" s="1270"/>
      <c r="D287" s="1270"/>
      <c r="E287" s="1338"/>
      <c r="F287" s="1338"/>
      <c r="G287" s="1339"/>
      <c r="H287" s="220"/>
      <c r="I287" s="220"/>
      <c r="J287" s="5"/>
      <c r="K287" s="1282"/>
      <c r="L287" s="1282"/>
      <c r="O287" s="1293"/>
      <c r="P287" s="1293"/>
      <c r="Q287" s="1293"/>
      <c r="R287" s="1293"/>
      <c r="S287" s="1293"/>
      <c r="T287" s="1293"/>
      <c r="U287" s="1293"/>
      <c r="W287" s="1293" t="str">
        <f>'🔵クレーム'!C278</f>
        <v/>
      </c>
      <c r="X287" s="1293" t="str">
        <f>'🔵クレーム'!D278</f>
        <v/>
      </c>
      <c r="Y287" s="1292" t="str">
        <f>'🔵クレーム'!I278</f>
        <v/>
      </c>
      <c r="Z287" s="1293" t="str">
        <f>'🔵クレーム'!J278</f>
        <v/>
      </c>
      <c r="AA287" s="1293" t="str">
        <f>'🔵クレーム'!K278</f>
        <v/>
      </c>
      <c r="AB287" s="1293" t="str">
        <f>'🔵クレーム'!L278</f>
        <v/>
      </c>
      <c r="AC287" s="1295" t="str">
        <f>'🔵クレーム'!N278</f>
        <v/>
      </c>
      <c r="AH287" s="274"/>
    </row>
    <row r="288">
      <c r="B288" s="1270"/>
      <c r="C288" s="1270"/>
      <c r="D288" s="1270"/>
      <c r="E288" s="1338"/>
      <c r="F288" s="1338"/>
      <c r="G288" s="1339"/>
      <c r="H288" s="220"/>
      <c r="I288" s="220"/>
      <c r="J288" s="5"/>
      <c r="K288" s="1282"/>
      <c r="L288" s="1282"/>
      <c r="O288" s="1293"/>
      <c r="P288" s="1293"/>
      <c r="Q288" s="1293"/>
      <c r="R288" s="1293"/>
      <c r="S288" s="1293"/>
      <c r="T288" s="1293"/>
      <c r="U288" s="1293"/>
      <c r="W288" s="1293" t="str">
        <f>'🔵クレーム'!C279</f>
        <v/>
      </c>
      <c r="X288" s="1293" t="str">
        <f>'🔵クレーム'!D279</f>
        <v/>
      </c>
      <c r="Y288" s="1292" t="str">
        <f>'🔵クレーム'!I279</f>
        <v/>
      </c>
      <c r="Z288" s="1293" t="str">
        <f>'🔵クレーム'!J279</f>
        <v/>
      </c>
      <c r="AA288" s="1293" t="str">
        <f>'🔵クレーム'!K279</f>
        <v/>
      </c>
      <c r="AB288" s="1293" t="str">
        <f>'🔵クレーム'!L279</f>
        <v/>
      </c>
      <c r="AC288" s="1295" t="str">
        <f>'🔵クレーム'!N279</f>
        <v/>
      </c>
      <c r="AH288" s="274"/>
    </row>
    <row r="289">
      <c r="B289" s="1270"/>
      <c r="C289" s="1270"/>
      <c r="D289" s="1270"/>
      <c r="E289" s="1338"/>
      <c r="F289" s="1338"/>
      <c r="G289" s="1339"/>
      <c r="H289" s="220"/>
      <c r="I289" s="220"/>
      <c r="J289" s="5"/>
      <c r="K289" s="1282"/>
      <c r="L289" s="1282"/>
      <c r="O289" s="1293"/>
      <c r="P289" s="1293"/>
      <c r="Q289" s="1293"/>
      <c r="R289" s="1293"/>
      <c r="S289" s="1293"/>
      <c r="T289" s="1293"/>
      <c r="U289" s="1293"/>
      <c r="W289" s="1293" t="str">
        <f>'🔵クレーム'!C280</f>
        <v/>
      </c>
      <c r="X289" s="1293" t="str">
        <f>'🔵クレーム'!D280</f>
        <v/>
      </c>
      <c r="Y289" s="1292" t="str">
        <f>'🔵クレーム'!I280</f>
        <v/>
      </c>
      <c r="Z289" s="1293" t="str">
        <f>'🔵クレーム'!J280</f>
        <v/>
      </c>
      <c r="AA289" s="1293" t="str">
        <f>'🔵クレーム'!K280</f>
        <v/>
      </c>
      <c r="AB289" s="1293" t="str">
        <f>'🔵クレーム'!L280</f>
        <v/>
      </c>
      <c r="AC289" s="1295" t="str">
        <f>'🔵クレーム'!N280</f>
        <v/>
      </c>
      <c r="AH289" s="274"/>
    </row>
    <row r="290">
      <c r="B290" s="1270"/>
      <c r="C290" s="1270"/>
      <c r="D290" s="1270"/>
      <c r="E290" s="1338"/>
      <c r="F290" s="1338"/>
      <c r="G290" s="1339"/>
      <c r="H290" s="220"/>
      <c r="I290" s="220"/>
      <c r="J290" s="5"/>
      <c r="K290" s="1282"/>
      <c r="L290" s="1282"/>
      <c r="O290" s="1293"/>
      <c r="P290" s="1293"/>
      <c r="Q290" s="1293"/>
      <c r="R290" s="1293"/>
      <c r="S290" s="1293"/>
      <c r="T290" s="1293"/>
      <c r="U290" s="1293"/>
      <c r="W290" s="1293" t="str">
        <f>'🔵クレーム'!C281</f>
        <v/>
      </c>
      <c r="X290" s="1293" t="str">
        <f>'🔵クレーム'!D281</f>
        <v/>
      </c>
      <c r="Y290" s="1292" t="str">
        <f>'🔵クレーム'!I281</f>
        <v/>
      </c>
      <c r="Z290" s="1293" t="str">
        <f>'🔵クレーム'!J281</f>
        <v/>
      </c>
      <c r="AA290" s="1293" t="str">
        <f>'🔵クレーム'!K281</f>
        <v/>
      </c>
      <c r="AB290" s="1293" t="str">
        <f>'🔵クレーム'!L281</f>
        <v/>
      </c>
      <c r="AC290" s="1295" t="str">
        <f>'🔵クレーム'!N281</f>
        <v/>
      </c>
      <c r="AH290" s="274"/>
    </row>
    <row r="291">
      <c r="B291" s="1270"/>
      <c r="C291" s="1270"/>
      <c r="D291" s="1270"/>
      <c r="E291" s="1338"/>
      <c r="F291" s="1338"/>
      <c r="G291" s="1339"/>
      <c r="H291" s="220"/>
      <c r="I291" s="220"/>
      <c r="J291" s="5"/>
      <c r="K291" s="1282"/>
      <c r="L291" s="1282"/>
      <c r="O291" s="1293"/>
      <c r="P291" s="1293"/>
      <c r="Q291" s="1293"/>
      <c r="R291" s="1293"/>
      <c r="S291" s="1293"/>
      <c r="T291" s="1293"/>
      <c r="U291" s="1293"/>
      <c r="W291" s="1293" t="str">
        <f>'🔵クレーム'!C282</f>
        <v/>
      </c>
      <c r="X291" s="1293" t="str">
        <f>'🔵クレーム'!D282</f>
        <v/>
      </c>
      <c r="Y291" s="1292" t="str">
        <f>'🔵クレーム'!I282</f>
        <v/>
      </c>
      <c r="Z291" s="1293" t="str">
        <f>'🔵クレーム'!J282</f>
        <v/>
      </c>
      <c r="AA291" s="1293" t="str">
        <f>'🔵クレーム'!K282</f>
        <v/>
      </c>
      <c r="AB291" s="1293" t="str">
        <f>'🔵クレーム'!L282</f>
        <v/>
      </c>
      <c r="AC291" s="1295" t="str">
        <f>'🔵クレーム'!N282</f>
        <v/>
      </c>
      <c r="AH291" s="274"/>
    </row>
    <row r="292">
      <c r="B292" s="1270"/>
      <c r="C292" s="1270"/>
      <c r="D292" s="1270"/>
      <c r="E292" s="1338"/>
      <c r="F292" s="1338"/>
      <c r="G292" s="1339"/>
      <c r="H292" s="220"/>
      <c r="I292" s="220"/>
      <c r="J292" s="5"/>
      <c r="K292" s="1282"/>
      <c r="L292" s="1282"/>
      <c r="O292" s="1293"/>
      <c r="P292" s="1293"/>
      <c r="Q292" s="1293"/>
      <c r="R292" s="1293"/>
      <c r="S292" s="1293"/>
      <c r="T292" s="1293"/>
      <c r="U292" s="1293"/>
      <c r="W292" s="1293" t="str">
        <f>'🔵クレーム'!C283</f>
        <v/>
      </c>
      <c r="X292" s="1293" t="str">
        <f>'🔵クレーム'!D283</f>
        <v/>
      </c>
      <c r="Y292" s="1292" t="str">
        <f>'🔵クレーム'!I283</f>
        <v/>
      </c>
      <c r="Z292" s="1293" t="str">
        <f>'🔵クレーム'!J283</f>
        <v/>
      </c>
      <c r="AA292" s="1293" t="str">
        <f>'🔵クレーム'!K283</f>
        <v/>
      </c>
      <c r="AB292" s="1293" t="str">
        <f>'🔵クレーム'!L283</f>
        <v/>
      </c>
      <c r="AC292" s="1295" t="str">
        <f>'🔵クレーム'!N283</f>
        <v/>
      </c>
      <c r="AH292" s="274"/>
    </row>
    <row r="293">
      <c r="B293" s="1270"/>
      <c r="C293" s="1270"/>
      <c r="D293" s="1270"/>
      <c r="E293" s="1338"/>
      <c r="F293" s="1338"/>
      <c r="G293" s="1339"/>
      <c r="H293" s="220"/>
      <c r="I293" s="220"/>
      <c r="J293" s="5"/>
      <c r="K293" s="1282"/>
      <c r="L293" s="1282"/>
      <c r="O293" s="1293"/>
      <c r="P293" s="1293"/>
      <c r="Q293" s="1293"/>
      <c r="R293" s="1293"/>
      <c r="S293" s="1293"/>
      <c r="T293" s="1293"/>
      <c r="U293" s="1293"/>
      <c r="W293" s="1293" t="str">
        <f>'🔵クレーム'!C284</f>
        <v/>
      </c>
      <c r="X293" s="1293" t="str">
        <f>'🔵クレーム'!D284</f>
        <v/>
      </c>
      <c r="Y293" s="1292" t="str">
        <f>'🔵クレーム'!I284</f>
        <v/>
      </c>
      <c r="Z293" s="1293" t="str">
        <f>'🔵クレーム'!J284</f>
        <v/>
      </c>
      <c r="AA293" s="1293" t="str">
        <f>'🔵クレーム'!K284</f>
        <v/>
      </c>
      <c r="AB293" s="1293" t="str">
        <f>'🔵クレーム'!L284</f>
        <v/>
      </c>
      <c r="AC293" s="1295" t="str">
        <f>'🔵クレーム'!N284</f>
        <v/>
      </c>
      <c r="AH293" s="274"/>
    </row>
    <row r="294">
      <c r="B294" s="1270"/>
      <c r="C294" s="1270"/>
      <c r="D294" s="1270"/>
      <c r="E294" s="1338"/>
      <c r="F294" s="1338"/>
      <c r="G294" s="1339"/>
      <c r="H294" s="220"/>
      <c r="I294" s="220"/>
      <c r="J294" s="5"/>
      <c r="K294" s="1282"/>
      <c r="L294" s="1282"/>
      <c r="O294" s="1293"/>
      <c r="P294" s="1293"/>
      <c r="Q294" s="1293"/>
      <c r="R294" s="1293"/>
      <c r="S294" s="1293"/>
      <c r="T294" s="1293"/>
      <c r="U294" s="1293"/>
      <c r="W294" s="1293" t="str">
        <f>'🔵クレーム'!C285</f>
        <v/>
      </c>
      <c r="X294" s="1293" t="str">
        <f>'🔵クレーム'!D285</f>
        <v/>
      </c>
      <c r="Y294" s="1292" t="str">
        <f>'🔵クレーム'!I285</f>
        <v/>
      </c>
      <c r="Z294" s="1293" t="str">
        <f>'🔵クレーム'!J285</f>
        <v/>
      </c>
      <c r="AA294" s="1293" t="str">
        <f>'🔵クレーム'!K285</f>
        <v/>
      </c>
      <c r="AB294" s="1293" t="str">
        <f>'🔵クレーム'!L285</f>
        <v/>
      </c>
      <c r="AC294" s="1295" t="str">
        <f>'🔵クレーム'!N285</f>
        <v/>
      </c>
      <c r="AH294" s="274"/>
    </row>
    <row r="295">
      <c r="B295" s="1270"/>
      <c r="C295" s="1270"/>
      <c r="D295" s="1270"/>
      <c r="E295" s="1338"/>
      <c r="F295" s="1338"/>
      <c r="G295" s="1339"/>
      <c r="H295" s="220"/>
      <c r="I295" s="220"/>
      <c r="J295" s="5"/>
      <c r="K295" s="1282"/>
      <c r="L295" s="1282"/>
      <c r="O295" s="1293"/>
      <c r="P295" s="1293"/>
      <c r="Q295" s="1293"/>
      <c r="R295" s="1293"/>
      <c r="S295" s="1293"/>
      <c r="T295" s="1293"/>
      <c r="U295" s="1293"/>
      <c r="W295" s="1293" t="str">
        <f>'🔵クレーム'!C286</f>
        <v/>
      </c>
      <c r="X295" s="1293" t="str">
        <f>'🔵クレーム'!D286</f>
        <v/>
      </c>
      <c r="Y295" s="1292" t="str">
        <f>'🔵クレーム'!I286</f>
        <v/>
      </c>
      <c r="Z295" s="1293" t="str">
        <f>'🔵クレーム'!J286</f>
        <v/>
      </c>
      <c r="AA295" s="1293" t="str">
        <f>'🔵クレーム'!K286</f>
        <v/>
      </c>
      <c r="AB295" s="1293" t="str">
        <f>'🔵クレーム'!L286</f>
        <v/>
      </c>
      <c r="AC295" s="1295" t="str">
        <f>'🔵クレーム'!N286</f>
        <v/>
      </c>
      <c r="AH295" s="274"/>
    </row>
    <row r="296">
      <c r="B296" s="1270"/>
      <c r="C296" s="1270"/>
      <c r="D296" s="1270"/>
      <c r="E296" s="1338"/>
      <c r="F296" s="1338"/>
      <c r="G296" s="1339"/>
      <c r="H296" s="220"/>
      <c r="I296" s="220"/>
      <c r="J296" s="5"/>
      <c r="K296" s="1282"/>
      <c r="L296" s="1282"/>
      <c r="O296" s="1293"/>
      <c r="P296" s="1293"/>
      <c r="Q296" s="1293"/>
      <c r="R296" s="1293"/>
      <c r="S296" s="1293"/>
      <c r="T296" s="1293"/>
      <c r="U296" s="1293"/>
      <c r="W296" s="1293" t="str">
        <f>'🔵クレーム'!C287</f>
        <v/>
      </c>
      <c r="X296" s="1293" t="str">
        <f>'🔵クレーム'!D287</f>
        <v/>
      </c>
      <c r="Y296" s="1292" t="str">
        <f>'🔵クレーム'!I287</f>
        <v/>
      </c>
      <c r="Z296" s="1293" t="str">
        <f>'🔵クレーム'!J287</f>
        <v/>
      </c>
      <c r="AA296" s="1293" t="str">
        <f>'🔵クレーム'!K287</f>
        <v/>
      </c>
      <c r="AB296" s="1293" t="str">
        <f>'🔵クレーム'!L287</f>
        <v/>
      </c>
      <c r="AC296" s="1295" t="str">
        <f>'🔵クレーム'!N287</f>
        <v/>
      </c>
      <c r="AH296" s="274"/>
    </row>
    <row r="297">
      <c r="B297" s="1270"/>
      <c r="C297" s="1270"/>
      <c r="D297" s="1270"/>
      <c r="E297" s="1338"/>
      <c r="F297" s="1338"/>
      <c r="G297" s="1339"/>
      <c r="H297" s="220"/>
      <c r="I297" s="220"/>
      <c r="J297" s="5"/>
      <c r="K297" s="1282"/>
      <c r="L297" s="1282"/>
      <c r="O297" s="1293"/>
      <c r="P297" s="1293"/>
      <c r="Q297" s="1293"/>
      <c r="R297" s="1293"/>
      <c r="S297" s="1293"/>
      <c r="T297" s="1293"/>
      <c r="U297" s="1293"/>
      <c r="W297" s="1293" t="str">
        <f>'🔵クレーム'!C288</f>
        <v/>
      </c>
      <c r="X297" s="1293" t="str">
        <f>'🔵クレーム'!D288</f>
        <v/>
      </c>
      <c r="Y297" s="1292" t="str">
        <f>'🔵クレーム'!I288</f>
        <v/>
      </c>
      <c r="Z297" s="1293" t="str">
        <f>'🔵クレーム'!J288</f>
        <v/>
      </c>
      <c r="AA297" s="1293" t="str">
        <f>'🔵クレーム'!K288</f>
        <v/>
      </c>
      <c r="AB297" s="1293" t="str">
        <f>'🔵クレーム'!L288</f>
        <v/>
      </c>
      <c r="AC297" s="1295" t="str">
        <f>'🔵クレーム'!N288</f>
        <v/>
      </c>
      <c r="AH297" s="274"/>
    </row>
    <row r="298">
      <c r="B298" s="1270"/>
      <c r="C298" s="1270"/>
      <c r="D298" s="1270"/>
      <c r="E298" s="1338"/>
      <c r="F298" s="1338"/>
      <c r="G298" s="1339"/>
      <c r="H298" s="220"/>
      <c r="I298" s="220"/>
      <c r="J298" s="5"/>
      <c r="K298" s="1282"/>
      <c r="L298" s="1282"/>
      <c r="O298" s="1293"/>
      <c r="P298" s="1293"/>
      <c r="Q298" s="1293"/>
      <c r="R298" s="1293"/>
      <c r="S298" s="1293"/>
      <c r="T298" s="1293"/>
      <c r="U298" s="1293"/>
      <c r="W298" s="1293" t="str">
        <f>'🔵クレーム'!C289</f>
        <v/>
      </c>
      <c r="X298" s="1293" t="str">
        <f>'🔵クレーム'!D289</f>
        <v/>
      </c>
      <c r="Y298" s="1292" t="str">
        <f>'🔵クレーム'!I289</f>
        <v/>
      </c>
      <c r="Z298" s="1293" t="str">
        <f>'🔵クレーム'!J289</f>
        <v/>
      </c>
      <c r="AA298" s="1293" t="str">
        <f>'🔵クレーム'!K289</f>
        <v/>
      </c>
      <c r="AB298" s="1293" t="str">
        <f>'🔵クレーム'!L289</f>
        <v/>
      </c>
      <c r="AC298" s="1295" t="str">
        <f>'🔵クレーム'!N289</f>
        <v/>
      </c>
      <c r="AH298" s="274"/>
    </row>
    <row r="299">
      <c r="B299" s="1270"/>
      <c r="C299" s="1270"/>
      <c r="D299" s="1270"/>
      <c r="E299" s="1338"/>
      <c r="F299" s="1338"/>
      <c r="G299" s="1339"/>
      <c r="H299" s="220"/>
      <c r="I299" s="220"/>
      <c r="J299" s="5"/>
      <c r="K299" s="1282"/>
      <c r="L299" s="1282"/>
      <c r="O299" s="1293"/>
      <c r="P299" s="1293"/>
      <c r="Q299" s="1293"/>
      <c r="R299" s="1293"/>
      <c r="S299" s="1293"/>
      <c r="T299" s="1293"/>
      <c r="U299" s="1293"/>
      <c r="W299" s="1293" t="str">
        <f>'🔵クレーム'!C290</f>
        <v/>
      </c>
      <c r="X299" s="1293" t="str">
        <f>'🔵クレーム'!D290</f>
        <v/>
      </c>
      <c r="Y299" s="1292" t="str">
        <f>'🔵クレーム'!I290</f>
        <v/>
      </c>
      <c r="Z299" s="1293" t="str">
        <f>'🔵クレーム'!J290</f>
        <v/>
      </c>
      <c r="AA299" s="1293" t="str">
        <f>'🔵クレーム'!K290</f>
        <v/>
      </c>
      <c r="AB299" s="1293" t="str">
        <f>'🔵クレーム'!L290</f>
        <v/>
      </c>
      <c r="AC299" s="1295" t="str">
        <f>'🔵クレーム'!N290</f>
        <v/>
      </c>
      <c r="AH299" s="274"/>
    </row>
    <row r="300">
      <c r="B300" s="1270"/>
      <c r="C300" s="1270"/>
      <c r="D300" s="1270"/>
      <c r="E300" s="1338"/>
      <c r="F300" s="1338"/>
      <c r="G300" s="1339"/>
      <c r="H300" s="220"/>
      <c r="I300" s="220"/>
      <c r="J300" s="5"/>
      <c r="K300" s="1282"/>
      <c r="L300" s="1282"/>
      <c r="O300" s="1293"/>
      <c r="P300" s="1293"/>
      <c r="Q300" s="1293"/>
      <c r="R300" s="1293"/>
      <c r="S300" s="1293"/>
      <c r="T300" s="1293"/>
      <c r="U300" s="1293"/>
      <c r="W300" s="1293" t="str">
        <f>'🔵クレーム'!C291</f>
        <v/>
      </c>
      <c r="X300" s="1293" t="str">
        <f>'🔵クレーム'!D291</f>
        <v/>
      </c>
      <c r="Y300" s="1292" t="str">
        <f>'🔵クレーム'!I291</f>
        <v/>
      </c>
      <c r="Z300" s="1293" t="str">
        <f>'🔵クレーム'!J291</f>
        <v/>
      </c>
      <c r="AA300" s="1293" t="str">
        <f>'🔵クレーム'!K291</f>
        <v/>
      </c>
      <c r="AB300" s="1293" t="str">
        <f>'🔵クレーム'!L291</f>
        <v/>
      </c>
      <c r="AC300" s="1295" t="str">
        <f>'🔵クレーム'!N291</f>
        <v/>
      </c>
      <c r="AH300" s="274"/>
    </row>
    <row r="301">
      <c r="B301" s="1282"/>
      <c r="C301" s="1282"/>
      <c r="D301" s="1282"/>
      <c r="E301" s="351"/>
      <c r="F301" s="1282"/>
      <c r="G301" s="1282"/>
      <c r="H301" s="1282"/>
      <c r="I301" s="1282"/>
      <c r="J301" s="1282" t="s">
        <v>903</v>
      </c>
      <c r="K301" s="1282"/>
      <c r="L301" s="1282"/>
      <c r="O301" s="1293"/>
      <c r="P301" s="1293"/>
      <c r="Q301" s="1293"/>
      <c r="R301" s="1293"/>
      <c r="S301" s="1293"/>
      <c r="T301" s="1293"/>
      <c r="U301" s="1293"/>
      <c r="W301" s="1293" t="str">
        <f>'🔵クレーム'!C292</f>
        <v/>
      </c>
      <c r="X301" s="1293" t="str">
        <f>'🔵クレーム'!D292</f>
        <v/>
      </c>
      <c r="Y301" s="1292" t="str">
        <f>'🔵クレーム'!I292</f>
        <v/>
      </c>
      <c r="Z301" s="1293" t="str">
        <f>'🔵クレーム'!J292</f>
        <v/>
      </c>
      <c r="AA301" s="1293" t="str">
        <f>'🔵クレーム'!K292</f>
        <v/>
      </c>
      <c r="AB301" s="1293" t="str">
        <f>'🔵クレーム'!L292</f>
        <v/>
      </c>
      <c r="AC301" s="1295" t="str">
        <f>'🔵クレーム'!N292</f>
        <v/>
      </c>
      <c r="AH301" s="274"/>
    </row>
    <row r="302">
      <c r="B302" s="1282"/>
      <c r="C302" s="1282"/>
      <c r="D302" s="1282"/>
      <c r="E302" s="351"/>
      <c r="F302" s="1282"/>
      <c r="G302" s="1282"/>
      <c r="H302" s="1282"/>
      <c r="I302" s="1282"/>
      <c r="J302" s="1282" t="s">
        <v>903</v>
      </c>
      <c r="K302" s="1282"/>
      <c r="L302" s="1282"/>
      <c r="O302" s="1293"/>
      <c r="P302" s="1293"/>
      <c r="Q302" s="1293"/>
      <c r="R302" s="1293"/>
      <c r="S302" s="1293"/>
      <c r="T302" s="1293"/>
      <c r="U302" s="1293"/>
      <c r="W302" s="1293" t="str">
        <f>'🔵クレーム'!C293</f>
        <v/>
      </c>
      <c r="X302" s="1293" t="str">
        <f>'🔵クレーム'!D293</f>
        <v/>
      </c>
      <c r="Y302" s="1292" t="str">
        <f>'🔵クレーム'!I293</f>
        <v/>
      </c>
      <c r="Z302" s="1293" t="str">
        <f>'🔵クレーム'!J293</f>
        <v/>
      </c>
      <c r="AA302" s="1293" t="str">
        <f>'🔵クレーム'!K293</f>
        <v/>
      </c>
      <c r="AB302" s="1293" t="str">
        <f>'🔵クレーム'!L293</f>
        <v/>
      </c>
      <c r="AC302" s="1295" t="str">
        <f>'🔵クレーム'!N293</f>
        <v/>
      </c>
      <c r="AH302" s="274"/>
    </row>
    <row r="303">
      <c r="B303" s="1282"/>
      <c r="C303" s="1282"/>
      <c r="D303" s="1282"/>
      <c r="E303" s="351"/>
      <c r="F303" s="1282"/>
      <c r="G303" s="1282"/>
      <c r="H303" s="1282"/>
      <c r="I303" s="1282"/>
      <c r="J303" s="1282" t="s">
        <v>903</v>
      </c>
      <c r="K303" s="1282"/>
      <c r="L303" s="1282"/>
      <c r="O303" s="1293"/>
      <c r="P303" s="1293"/>
      <c r="Q303" s="1293"/>
      <c r="R303" s="1293"/>
      <c r="S303" s="1293"/>
      <c r="T303" s="1293"/>
      <c r="U303" s="1293"/>
      <c r="W303" s="1293" t="str">
        <f>'🔵クレーム'!C294</f>
        <v/>
      </c>
      <c r="X303" s="1293" t="str">
        <f>'🔵クレーム'!D294</f>
        <v/>
      </c>
      <c r="Y303" s="1292" t="str">
        <f>'🔵クレーム'!I294</f>
        <v/>
      </c>
      <c r="Z303" s="1293" t="str">
        <f>'🔵クレーム'!J294</f>
        <v/>
      </c>
      <c r="AA303" s="1293" t="str">
        <f>'🔵クレーム'!K294</f>
        <v/>
      </c>
      <c r="AB303" s="1293" t="str">
        <f>'🔵クレーム'!L294</f>
        <v/>
      </c>
      <c r="AC303" s="1295" t="str">
        <f>'🔵クレーム'!N294</f>
        <v/>
      </c>
      <c r="AH303" s="274"/>
    </row>
    <row r="304">
      <c r="B304" s="1282"/>
      <c r="C304" s="1282"/>
      <c r="D304" s="1282"/>
      <c r="E304" s="351"/>
      <c r="F304" s="1282"/>
      <c r="G304" s="1282"/>
      <c r="H304" s="1282"/>
      <c r="I304" s="1282"/>
      <c r="J304" s="1282" t="s">
        <v>903</v>
      </c>
      <c r="K304" s="1282"/>
      <c r="L304" s="1282"/>
      <c r="O304" s="1293"/>
      <c r="P304" s="1293"/>
      <c r="Q304" s="1293"/>
      <c r="R304" s="1293"/>
      <c r="S304" s="1293"/>
      <c r="T304" s="1293"/>
      <c r="U304" s="1293"/>
      <c r="W304" s="1293" t="str">
        <f>'🔵クレーム'!C295</f>
        <v/>
      </c>
      <c r="X304" s="1293" t="str">
        <f>'🔵クレーム'!D295</f>
        <v/>
      </c>
      <c r="Y304" s="1292" t="str">
        <f>'🔵クレーム'!I295</f>
        <v/>
      </c>
      <c r="Z304" s="1293" t="str">
        <f>'🔵クレーム'!J295</f>
        <v/>
      </c>
      <c r="AA304" s="1293" t="str">
        <f>'🔵クレーム'!K295</f>
        <v/>
      </c>
      <c r="AB304" s="1293" t="str">
        <f>'🔵クレーム'!L295</f>
        <v/>
      </c>
      <c r="AC304" s="1295" t="str">
        <f>'🔵クレーム'!N295</f>
        <v/>
      </c>
      <c r="AH304" s="274"/>
    </row>
    <row r="305">
      <c r="B305" s="1282"/>
      <c r="C305" s="1282"/>
      <c r="D305" s="1282"/>
      <c r="E305" s="351"/>
      <c r="F305" s="1282"/>
      <c r="G305" s="1282"/>
      <c r="H305" s="1282"/>
      <c r="I305" s="1282"/>
      <c r="J305" s="1282" t="s">
        <v>903</v>
      </c>
      <c r="K305" s="1282"/>
      <c r="L305" s="1282"/>
      <c r="O305" s="1293"/>
      <c r="P305" s="1293"/>
      <c r="Q305" s="1293"/>
      <c r="R305" s="1293"/>
      <c r="S305" s="1293"/>
      <c r="T305" s="1293"/>
      <c r="U305" s="1293"/>
      <c r="W305" s="1293" t="str">
        <f>'🔵クレーム'!C296</f>
        <v/>
      </c>
      <c r="X305" s="1293" t="str">
        <f>'🔵クレーム'!D296</f>
        <v/>
      </c>
      <c r="Y305" s="1292" t="str">
        <f>'🔵クレーム'!I296</f>
        <v/>
      </c>
      <c r="Z305" s="1293" t="str">
        <f>'🔵クレーム'!J296</f>
        <v/>
      </c>
      <c r="AA305" s="1293" t="str">
        <f>'🔵クレーム'!K296</f>
        <v/>
      </c>
      <c r="AB305" s="1293" t="str">
        <f>'🔵クレーム'!L296</f>
        <v/>
      </c>
      <c r="AC305" s="1295" t="str">
        <f>'🔵クレーム'!N296</f>
        <v/>
      </c>
      <c r="AH305" s="274"/>
    </row>
    <row r="306">
      <c r="B306" s="1282"/>
      <c r="C306" s="1282"/>
      <c r="D306" s="1282"/>
      <c r="E306" s="351"/>
      <c r="F306" s="1282"/>
      <c r="G306" s="1282"/>
      <c r="H306" s="1282"/>
      <c r="I306" s="1282"/>
      <c r="J306" s="1282" t="s">
        <v>903</v>
      </c>
      <c r="K306" s="1282"/>
      <c r="L306" s="1282"/>
      <c r="O306" s="1293"/>
      <c r="P306" s="1293"/>
      <c r="Q306" s="1293"/>
      <c r="R306" s="1293"/>
      <c r="S306" s="1293"/>
      <c r="T306" s="1293"/>
      <c r="U306" s="1293"/>
      <c r="W306" s="1293" t="str">
        <f>'🔵クレーム'!C297</f>
        <v/>
      </c>
      <c r="X306" s="1293" t="str">
        <f>'🔵クレーム'!D297</f>
        <v/>
      </c>
      <c r="Y306" s="1292" t="str">
        <f>'🔵クレーム'!I297</f>
        <v/>
      </c>
      <c r="Z306" s="1293" t="str">
        <f>'🔵クレーム'!J297</f>
        <v/>
      </c>
      <c r="AA306" s="1293" t="str">
        <f>'🔵クレーム'!K297</f>
        <v/>
      </c>
      <c r="AB306" s="1293" t="str">
        <f>'🔵クレーム'!L297</f>
        <v/>
      </c>
      <c r="AC306" s="1295" t="str">
        <f>'🔵クレーム'!N297</f>
        <v/>
      </c>
      <c r="AH306" s="274"/>
    </row>
    <row r="307">
      <c r="B307" s="1282"/>
      <c r="C307" s="1282"/>
      <c r="D307" s="1282"/>
      <c r="E307" s="351"/>
      <c r="F307" s="1282"/>
      <c r="G307" s="1282"/>
      <c r="H307" s="1282"/>
      <c r="I307" s="1282"/>
      <c r="J307" s="1282" t="s">
        <v>903</v>
      </c>
      <c r="K307" s="1282"/>
      <c r="L307" s="1282"/>
      <c r="O307" s="1293"/>
      <c r="P307" s="1293"/>
      <c r="Q307" s="1293"/>
      <c r="R307" s="1293"/>
      <c r="S307" s="1293"/>
      <c r="T307" s="1293"/>
      <c r="U307" s="1293"/>
      <c r="W307" s="1293" t="str">
        <f>'🔵クレーム'!C298</f>
        <v/>
      </c>
      <c r="X307" s="1293" t="str">
        <f>'🔵クレーム'!D298</f>
        <v/>
      </c>
      <c r="Y307" s="1292" t="str">
        <f>'🔵クレーム'!I298</f>
        <v/>
      </c>
      <c r="Z307" s="1293" t="str">
        <f>'🔵クレーム'!J298</f>
        <v/>
      </c>
      <c r="AA307" s="1293" t="str">
        <f>'🔵クレーム'!K298</f>
        <v/>
      </c>
      <c r="AB307" s="1293" t="str">
        <f>'🔵クレーム'!L298</f>
        <v/>
      </c>
      <c r="AC307" s="1295" t="str">
        <f>'🔵クレーム'!N298</f>
        <v/>
      </c>
      <c r="AH307" s="274"/>
    </row>
    <row r="308">
      <c r="B308" s="1282"/>
      <c r="C308" s="1282"/>
      <c r="D308" s="1282"/>
      <c r="E308" s="351"/>
      <c r="F308" s="1282"/>
      <c r="G308" s="1282"/>
      <c r="H308" s="1282"/>
      <c r="I308" s="1282"/>
      <c r="J308" s="1282" t="s">
        <v>903</v>
      </c>
      <c r="K308" s="1282"/>
      <c r="L308" s="1282"/>
      <c r="O308" s="1293"/>
      <c r="P308" s="1293"/>
      <c r="Q308" s="1293"/>
      <c r="R308" s="1293"/>
      <c r="S308" s="1293"/>
      <c r="T308" s="1293"/>
      <c r="U308" s="1293"/>
      <c r="W308" s="1293" t="str">
        <f>'🔵クレーム'!C299</f>
        <v/>
      </c>
      <c r="X308" s="1293" t="str">
        <f>'🔵クレーム'!D299</f>
        <v/>
      </c>
      <c r="Y308" s="1292" t="str">
        <f>'🔵クレーム'!I299</f>
        <v/>
      </c>
      <c r="Z308" s="1293" t="str">
        <f>'🔵クレーム'!J299</f>
        <v/>
      </c>
      <c r="AA308" s="1293" t="str">
        <f>'🔵クレーム'!K299</f>
        <v/>
      </c>
      <c r="AB308" s="1293" t="str">
        <f>'🔵クレーム'!L299</f>
        <v/>
      </c>
      <c r="AC308" s="1295" t="str">
        <f>'🔵クレーム'!N299</f>
        <v/>
      </c>
      <c r="AH308" s="274"/>
    </row>
    <row r="309">
      <c r="B309" s="1282"/>
      <c r="C309" s="1282"/>
      <c r="D309" s="1282"/>
      <c r="E309" s="351"/>
      <c r="F309" s="1282"/>
      <c r="G309" s="1282"/>
      <c r="H309" s="1282"/>
      <c r="I309" s="1282"/>
      <c r="J309" s="1282" t="s">
        <v>903</v>
      </c>
      <c r="K309" s="1282"/>
      <c r="L309" s="1282"/>
      <c r="O309" s="1293"/>
      <c r="P309" s="1293"/>
      <c r="Q309" s="1293"/>
      <c r="R309" s="1293"/>
      <c r="S309" s="1293"/>
      <c r="T309" s="1293"/>
      <c r="U309" s="1293"/>
      <c r="W309" s="1293" t="str">
        <f>'🔵クレーム'!C300</f>
        <v/>
      </c>
      <c r="X309" s="1293" t="str">
        <f>'🔵クレーム'!D300</f>
        <v/>
      </c>
      <c r="Y309" s="1292" t="str">
        <f>'🔵クレーム'!I300</f>
        <v/>
      </c>
      <c r="Z309" s="1293" t="str">
        <f>'🔵クレーム'!J300</f>
        <v/>
      </c>
      <c r="AA309" s="1293" t="str">
        <f>'🔵クレーム'!K300</f>
        <v/>
      </c>
      <c r="AB309" s="1293" t="str">
        <f>'🔵クレーム'!L300</f>
        <v/>
      </c>
      <c r="AC309" s="1295" t="str">
        <f>'🔵クレーム'!N300</f>
        <v/>
      </c>
      <c r="AH309" s="274"/>
    </row>
    <row r="310">
      <c r="B310" s="1282"/>
      <c r="C310" s="1282"/>
      <c r="D310" s="1282"/>
      <c r="E310" s="351"/>
      <c r="F310" s="1282"/>
      <c r="G310" s="1282"/>
      <c r="H310" s="1282"/>
      <c r="I310" s="1282"/>
      <c r="J310" s="1282" t="s">
        <v>903</v>
      </c>
      <c r="K310" s="1282"/>
      <c r="L310" s="1282"/>
      <c r="O310" s="1293"/>
      <c r="P310" s="1293"/>
      <c r="Q310" s="1293"/>
      <c r="R310" s="1293"/>
      <c r="S310" s="1293"/>
      <c r="T310" s="1293"/>
      <c r="U310" s="1293"/>
      <c r="W310" s="1293" t="str">
        <f>'🔵クレーム'!C301</f>
        <v/>
      </c>
      <c r="X310" s="1293" t="str">
        <f>'🔵クレーム'!D301</f>
        <v/>
      </c>
      <c r="Y310" s="1292" t="str">
        <f>'🔵クレーム'!I301</f>
        <v/>
      </c>
      <c r="Z310" s="1293" t="str">
        <f>'🔵クレーム'!J301</f>
        <v/>
      </c>
      <c r="AA310" s="1293" t="str">
        <f>'🔵クレーム'!K301</f>
        <v/>
      </c>
      <c r="AB310" s="1293" t="str">
        <f>'🔵クレーム'!L301</f>
        <v/>
      </c>
      <c r="AC310" s="1295" t="str">
        <f>'🔵クレーム'!N301</f>
        <v/>
      </c>
      <c r="AH310" s="274"/>
    </row>
    <row r="311">
      <c r="B311" s="1282"/>
      <c r="C311" s="1282"/>
      <c r="D311" s="1282"/>
      <c r="E311" s="351"/>
      <c r="F311" s="1282"/>
      <c r="G311" s="1282"/>
      <c r="H311" s="1282"/>
      <c r="I311" s="1282"/>
      <c r="J311" s="1282" t="s">
        <v>903</v>
      </c>
      <c r="K311" s="1282"/>
      <c r="L311" s="1282"/>
      <c r="O311" s="1293"/>
      <c r="P311" s="1293"/>
      <c r="Q311" s="1293"/>
      <c r="R311" s="1293"/>
      <c r="S311" s="1293"/>
      <c r="T311" s="1293"/>
      <c r="U311" s="1293"/>
      <c r="W311" s="1293" t="str">
        <f>'🔵クレーム'!C302</f>
        <v/>
      </c>
      <c r="X311" s="1293" t="str">
        <f>'🔵クレーム'!D302</f>
        <v/>
      </c>
      <c r="Y311" s="1292" t="str">
        <f>'🔵クレーム'!I302</f>
        <v/>
      </c>
      <c r="Z311" s="1293" t="str">
        <f>'🔵クレーム'!J302</f>
        <v/>
      </c>
      <c r="AA311" s="1293" t="str">
        <f>'🔵クレーム'!K302</f>
        <v/>
      </c>
      <c r="AB311" s="1293" t="str">
        <f>'🔵クレーム'!L302</f>
        <v/>
      </c>
      <c r="AC311" s="1295" t="str">
        <f>'🔵クレーム'!N302</f>
        <v/>
      </c>
      <c r="AH311" s="274"/>
    </row>
    <row r="312">
      <c r="B312" s="1282"/>
      <c r="C312" s="1282"/>
      <c r="D312" s="1282"/>
      <c r="E312" s="351"/>
      <c r="F312" s="1282"/>
      <c r="G312" s="1282"/>
      <c r="H312" s="1282"/>
      <c r="I312" s="1282"/>
      <c r="J312" s="1282" t="s">
        <v>903</v>
      </c>
      <c r="K312" s="1282"/>
      <c r="L312" s="1282"/>
      <c r="O312" s="1293"/>
      <c r="P312" s="1293"/>
      <c r="Q312" s="1293"/>
      <c r="R312" s="1293"/>
      <c r="S312" s="1293"/>
      <c r="T312" s="1293"/>
      <c r="U312" s="1293"/>
      <c r="W312" s="1293" t="str">
        <f>'🔵クレーム'!C303</f>
        <v/>
      </c>
      <c r="X312" s="1293" t="str">
        <f>'🔵クレーム'!D303</f>
        <v/>
      </c>
      <c r="Y312" s="1292" t="str">
        <f>'🔵クレーム'!I303</f>
        <v/>
      </c>
      <c r="Z312" s="1293" t="str">
        <f>'🔵クレーム'!J303</f>
        <v/>
      </c>
      <c r="AA312" s="1293" t="str">
        <f>'🔵クレーム'!K303</f>
        <v/>
      </c>
      <c r="AB312" s="1293" t="str">
        <f>'🔵クレーム'!L303</f>
        <v/>
      </c>
      <c r="AC312" s="1295" t="str">
        <f>'🔵クレーム'!N303</f>
        <v/>
      </c>
      <c r="AH312" s="274"/>
    </row>
    <row r="313">
      <c r="B313" s="1282"/>
      <c r="C313" s="1282"/>
      <c r="D313" s="1282"/>
      <c r="E313" s="351"/>
      <c r="F313" s="1282"/>
      <c r="G313" s="1282"/>
      <c r="H313" s="1282"/>
      <c r="I313" s="1282"/>
      <c r="J313" s="1282" t="s">
        <v>903</v>
      </c>
      <c r="K313" s="1282"/>
      <c r="L313" s="1282"/>
      <c r="O313" s="1293"/>
      <c r="P313" s="1293"/>
      <c r="Q313" s="1293"/>
      <c r="R313" s="1293"/>
      <c r="S313" s="1293"/>
      <c r="T313" s="1293"/>
      <c r="U313" s="1293"/>
      <c r="W313" s="1293" t="str">
        <f>'🔵クレーム'!C304</f>
        <v/>
      </c>
      <c r="X313" s="1293" t="str">
        <f>'🔵クレーム'!D304</f>
        <v/>
      </c>
      <c r="Y313" s="1292" t="str">
        <f>'🔵クレーム'!I304</f>
        <v/>
      </c>
      <c r="Z313" s="1293" t="str">
        <f>'🔵クレーム'!J304</f>
        <v/>
      </c>
      <c r="AA313" s="1293" t="str">
        <f>'🔵クレーム'!K304</f>
        <v/>
      </c>
      <c r="AB313" s="1293" t="str">
        <f>'🔵クレーム'!L304</f>
        <v/>
      </c>
      <c r="AC313" s="1295" t="str">
        <f>'🔵クレーム'!N304</f>
        <v/>
      </c>
      <c r="AH313" s="274"/>
    </row>
    <row r="314">
      <c r="B314" s="1282"/>
      <c r="C314" s="1282"/>
      <c r="D314" s="1282"/>
      <c r="E314" s="351"/>
      <c r="F314" s="1282"/>
      <c r="G314" s="1282"/>
      <c r="H314" s="1282"/>
      <c r="I314" s="1282"/>
      <c r="J314" s="1282" t="s">
        <v>903</v>
      </c>
      <c r="K314" s="1282"/>
      <c r="L314" s="1282"/>
      <c r="O314" s="1293"/>
      <c r="P314" s="1293"/>
      <c r="Q314" s="1293"/>
      <c r="R314" s="1293"/>
      <c r="S314" s="1293"/>
      <c r="T314" s="1293"/>
      <c r="U314" s="1293"/>
      <c r="W314" s="1293" t="str">
        <f>'🔵クレーム'!C305</f>
        <v/>
      </c>
      <c r="X314" s="1293" t="str">
        <f>'🔵クレーム'!D305</f>
        <v/>
      </c>
      <c r="Y314" s="1292" t="str">
        <f>'🔵クレーム'!I305</f>
        <v/>
      </c>
      <c r="Z314" s="1293" t="str">
        <f>'🔵クレーム'!J305</f>
        <v/>
      </c>
      <c r="AA314" s="1293" t="str">
        <f>'🔵クレーム'!K305</f>
        <v/>
      </c>
      <c r="AB314" s="1293" t="str">
        <f>'🔵クレーム'!L305</f>
        <v/>
      </c>
      <c r="AC314" s="1295" t="str">
        <f>'🔵クレーム'!N305</f>
        <v/>
      </c>
      <c r="AH314" s="274"/>
    </row>
    <row r="315">
      <c r="B315" s="1282"/>
      <c r="C315" s="1282"/>
      <c r="D315" s="1282"/>
      <c r="E315" s="351"/>
      <c r="F315" s="1282"/>
      <c r="G315" s="1282"/>
      <c r="H315" s="1282"/>
      <c r="I315" s="1282"/>
      <c r="J315" s="1282" t="s">
        <v>903</v>
      </c>
      <c r="K315" s="1282"/>
      <c r="L315" s="1282"/>
      <c r="O315" s="1293"/>
      <c r="P315" s="1293"/>
      <c r="Q315" s="1293"/>
      <c r="R315" s="1293"/>
      <c r="S315" s="1293"/>
      <c r="T315" s="1293"/>
      <c r="U315" s="1293"/>
      <c r="W315" s="1293" t="str">
        <f>'🔵クレーム'!C306</f>
        <v/>
      </c>
      <c r="X315" s="1293" t="str">
        <f>'🔵クレーム'!D306</f>
        <v/>
      </c>
      <c r="Y315" s="1292" t="str">
        <f>'🔵クレーム'!I306</f>
        <v/>
      </c>
      <c r="Z315" s="1293" t="str">
        <f>'🔵クレーム'!J306</f>
        <v/>
      </c>
      <c r="AA315" s="1293" t="str">
        <f>'🔵クレーム'!K306</f>
        <v/>
      </c>
      <c r="AB315" s="1293" t="str">
        <f>'🔵クレーム'!L306</f>
        <v/>
      </c>
      <c r="AC315" s="1295" t="str">
        <f>'🔵クレーム'!N306</f>
        <v/>
      </c>
      <c r="AH315" s="274"/>
    </row>
    <row r="316">
      <c r="B316" s="1282"/>
      <c r="C316" s="1282"/>
      <c r="D316" s="1282"/>
      <c r="E316" s="351"/>
      <c r="F316" s="1282"/>
      <c r="G316" s="1282"/>
      <c r="H316" s="1282"/>
      <c r="I316" s="1282"/>
      <c r="J316" s="1282" t="s">
        <v>903</v>
      </c>
      <c r="K316" s="1282"/>
      <c r="L316" s="1282"/>
      <c r="O316" s="1293"/>
      <c r="P316" s="1293"/>
      <c r="Q316" s="1293"/>
      <c r="R316" s="1293"/>
      <c r="S316" s="1293"/>
      <c r="T316" s="1293"/>
      <c r="U316" s="1293"/>
      <c r="W316" s="1293" t="str">
        <f>'🔵クレーム'!C307</f>
        <v/>
      </c>
      <c r="X316" s="1293" t="str">
        <f>'🔵クレーム'!D307</f>
        <v/>
      </c>
      <c r="Y316" s="1292" t="str">
        <f>'🔵クレーム'!I307</f>
        <v/>
      </c>
      <c r="Z316" s="1293" t="str">
        <f>'🔵クレーム'!J307</f>
        <v/>
      </c>
      <c r="AA316" s="1293" t="str">
        <f>'🔵クレーム'!K307</f>
        <v/>
      </c>
      <c r="AB316" s="1293" t="str">
        <f>'🔵クレーム'!L307</f>
        <v/>
      </c>
      <c r="AC316" s="1295" t="str">
        <f>'🔵クレーム'!N307</f>
        <v/>
      </c>
      <c r="AH316" s="274"/>
    </row>
    <row r="317">
      <c r="B317" s="1282"/>
      <c r="C317" s="1282"/>
      <c r="D317" s="1282"/>
      <c r="E317" s="351"/>
      <c r="F317" s="1282"/>
      <c r="G317" s="1282"/>
      <c r="H317" s="1282"/>
      <c r="I317" s="1282"/>
      <c r="J317" s="1282" t="s">
        <v>903</v>
      </c>
      <c r="K317" s="1282"/>
      <c r="L317" s="1282"/>
      <c r="O317" s="1293"/>
      <c r="P317" s="1293"/>
      <c r="Q317" s="1293"/>
      <c r="R317" s="1293"/>
      <c r="S317" s="1293"/>
      <c r="T317" s="1293"/>
      <c r="U317" s="1293"/>
      <c r="W317" s="1293" t="str">
        <f>'🔵クレーム'!C308</f>
        <v/>
      </c>
      <c r="X317" s="1293" t="str">
        <f>'🔵クレーム'!D308</f>
        <v/>
      </c>
      <c r="Y317" s="1292" t="str">
        <f>'🔵クレーム'!I308</f>
        <v/>
      </c>
      <c r="Z317" s="1293" t="str">
        <f>'🔵クレーム'!J308</f>
        <v/>
      </c>
      <c r="AA317" s="1293" t="str">
        <f>'🔵クレーム'!K308</f>
        <v/>
      </c>
      <c r="AB317" s="1293" t="str">
        <f>'🔵クレーム'!L308</f>
        <v/>
      </c>
      <c r="AC317" s="1295" t="str">
        <f>'🔵クレーム'!N308</f>
        <v/>
      </c>
      <c r="AH317" s="274"/>
    </row>
    <row r="318">
      <c r="B318" s="1282"/>
      <c r="C318" s="1282"/>
      <c r="D318" s="1282"/>
      <c r="E318" s="351"/>
      <c r="F318" s="1282"/>
      <c r="G318" s="1282"/>
      <c r="H318" s="1282"/>
      <c r="I318" s="1282"/>
      <c r="J318" s="1282" t="s">
        <v>903</v>
      </c>
      <c r="K318" s="1282"/>
      <c r="L318" s="1282"/>
      <c r="O318" s="1293"/>
      <c r="P318" s="1293"/>
      <c r="Q318" s="1293"/>
      <c r="R318" s="1293"/>
      <c r="S318" s="1293"/>
      <c r="T318" s="1293"/>
      <c r="U318" s="1293"/>
      <c r="W318" s="1293" t="str">
        <f>'🔵クレーム'!C309</f>
        <v/>
      </c>
      <c r="X318" s="1293" t="str">
        <f>'🔵クレーム'!D309</f>
        <v/>
      </c>
      <c r="Y318" s="1292" t="str">
        <f>'🔵クレーム'!I309</f>
        <v/>
      </c>
      <c r="Z318" s="1293" t="str">
        <f>'🔵クレーム'!J309</f>
        <v/>
      </c>
      <c r="AA318" s="1293" t="str">
        <f>'🔵クレーム'!K309</f>
        <v/>
      </c>
      <c r="AB318" s="1293" t="str">
        <f>'🔵クレーム'!L309</f>
        <v/>
      </c>
      <c r="AC318" s="1295" t="str">
        <f>'🔵クレーム'!N309</f>
        <v/>
      </c>
      <c r="AH318" s="274"/>
    </row>
    <row r="319">
      <c r="B319" s="1282"/>
      <c r="C319" s="1282"/>
      <c r="D319" s="1282"/>
      <c r="E319" s="351"/>
      <c r="F319" s="1282"/>
      <c r="G319" s="1282"/>
      <c r="H319" s="1282"/>
      <c r="I319" s="1282"/>
      <c r="J319" s="1282" t="s">
        <v>903</v>
      </c>
      <c r="K319" s="1282"/>
      <c r="L319" s="1282"/>
      <c r="O319" s="1293"/>
      <c r="P319" s="1293"/>
      <c r="Q319" s="1293"/>
      <c r="R319" s="1293"/>
      <c r="S319" s="1293"/>
      <c r="T319" s="1293"/>
      <c r="U319" s="1293"/>
      <c r="W319" s="1293" t="str">
        <f>'🔵クレーム'!C310</f>
        <v/>
      </c>
      <c r="X319" s="1293" t="str">
        <f>'🔵クレーム'!D310</f>
        <v/>
      </c>
      <c r="Y319" s="1292" t="str">
        <f>'🔵クレーム'!I310</f>
        <v/>
      </c>
      <c r="Z319" s="1293" t="str">
        <f>'🔵クレーム'!J310</f>
        <v/>
      </c>
      <c r="AA319" s="1293" t="str">
        <f>'🔵クレーム'!K310</f>
        <v/>
      </c>
      <c r="AB319" s="1293" t="str">
        <f>'🔵クレーム'!L310</f>
        <v/>
      </c>
      <c r="AC319" s="1295" t="str">
        <f>'🔵クレーム'!N310</f>
        <v/>
      </c>
      <c r="AH319" s="274"/>
    </row>
    <row r="320">
      <c r="B320" s="1282"/>
      <c r="C320" s="1282"/>
      <c r="D320" s="1282"/>
      <c r="E320" s="351"/>
      <c r="F320" s="1282"/>
      <c r="G320" s="1282"/>
      <c r="H320" s="1282"/>
      <c r="I320" s="1282"/>
      <c r="J320" s="1282" t="s">
        <v>903</v>
      </c>
      <c r="K320" s="1282"/>
      <c r="L320" s="1282"/>
      <c r="O320" s="1293"/>
      <c r="P320" s="1293"/>
      <c r="Q320" s="1293"/>
      <c r="R320" s="1293"/>
      <c r="S320" s="1293"/>
      <c r="T320" s="1293"/>
      <c r="U320" s="1293"/>
      <c r="W320" s="1293" t="str">
        <f>'🔵クレーム'!C311</f>
        <v/>
      </c>
      <c r="X320" s="1293" t="str">
        <f>'🔵クレーム'!D311</f>
        <v/>
      </c>
      <c r="Y320" s="1292" t="str">
        <f>'🔵クレーム'!I311</f>
        <v/>
      </c>
      <c r="Z320" s="1293" t="str">
        <f>'🔵クレーム'!J311</f>
        <v/>
      </c>
      <c r="AA320" s="1293" t="str">
        <f>'🔵クレーム'!K311</f>
        <v/>
      </c>
      <c r="AB320" s="1293" t="str">
        <f>'🔵クレーム'!L311</f>
        <v/>
      </c>
      <c r="AC320" s="1295" t="str">
        <f>'🔵クレーム'!N311</f>
        <v/>
      </c>
      <c r="AH320" s="274"/>
    </row>
    <row r="321">
      <c r="B321" s="1282"/>
      <c r="C321" s="1282"/>
      <c r="D321" s="1282"/>
      <c r="E321" s="351"/>
      <c r="F321" s="1282"/>
      <c r="G321" s="1282"/>
      <c r="H321" s="1282"/>
      <c r="I321" s="1282"/>
      <c r="J321" s="1282" t="s">
        <v>903</v>
      </c>
      <c r="K321" s="1282"/>
      <c r="L321" s="1282"/>
      <c r="O321" s="1293"/>
      <c r="P321" s="1293"/>
      <c r="Q321" s="1293"/>
      <c r="R321" s="1293"/>
      <c r="S321" s="1293"/>
      <c r="T321" s="1293"/>
      <c r="U321" s="1293"/>
      <c r="W321" s="1293" t="str">
        <f>'🔵クレーム'!C312</f>
        <v/>
      </c>
      <c r="X321" s="1293" t="str">
        <f>'🔵クレーム'!D312</f>
        <v/>
      </c>
      <c r="Y321" s="1292" t="str">
        <f>'🔵クレーム'!I312</f>
        <v/>
      </c>
      <c r="Z321" s="1293" t="str">
        <f>'🔵クレーム'!J312</f>
        <v/>
      </c>
      <c r="AA321" s="1293" t="str">
        <f>'🔵クレーム'!K312</f>
        <v/>
      </c>
      <c r="AB321" s="1293" t="str">
        <f>'🔵クレーム'!L312</f>
        <v/>
      </c>
      <c r="AC321" s="1295" t="str">
        <f>'🔵クレーム'!N312</f>
        <v/>
      </c>
      <c r="AH321" s="274"/>
    </row>
    <row r="322">
      <c r="B322" s="1282"/>
      <c r="C322" s="1282"/>
      <c r="D322" s="1282"/>
      <c r="E322" s="351"/>
      <c r="F322" s="1282"/>
      <c r="G322" s="1282"/>
      <c r="H322" s="1282"/>
      <c r="I322" s="1282"/>
      <c r="J322" s="1282" t="s">
        <v>903</v>
      </c>
      <c r="K322" s="1282"/>
      <c r="L322" s="1282"/>
      <c r="O322" s="1293"/>
      <c r="P322" s="1293"/>
      <c r="Q322" s="1293"/>
      <c r="R322" s="1293"/>
      <c r="S322" s="1293"/>
      <c r="T322" s="1293"/>
      <c r="U322" s="1293"/>
      <c r="W322" s="1293" t="str">
        <f>'🔵クレーム'!C313</f>
        <v/>
      </c>
      <c r="X322" s="1293" t="str">
        <f>'🔵クレーム'!D313</f>
        <v/>
      </c>
      <c r="Y322" s="1292" t="str">
        <f>'🔵クレーム'!I313</f>
        <v/>
      </c>
      <c r="Z322" s="1293" t="str">
        <f>'🔵クレーム'!J313</f>
        <v/>
      </c>
      <c r="AA322" s="1293" t="str">
        <f>'🔵クレーム'!K313</f>
        <v/>
      </c>
      <c r="AB322" s="1293" t="str">
        <f>'🔵クレーム'!L313</f>
        <v/>
      </c>
      <c r="AC322" s="1295" t="str">
        <f>'🔵クレーム'!N313</f>
        <v/>
      </c>
      <c r="AH322" s="274"/>
    </row>
    <row r="323">
      <c r="B323" s="1282"/>
      <c r="C323" s="1282"/>
      <c r="D323" s="1282"/>
      <c r="E323" s="351"/>
      <c r="F323" s="1282"/>
      <c r="G323" s="1282"/>
      <c r="H323" s="1282"/>
      <c r="I323" s="1282"/>
      <c r="J323" s="1282" t="s">
        <v>903</v>
      </c>
      <c r="K323" s="1282"/>
      <c r="L323" s="1282"/>
      <c r="O323" s="1293"/>
      <c r="P323" s="1293"/>
      <c r="Q323" s="1293"/>
      <c r="R323" s="1293"/>
      <c r="S323" s="1293"/>
      <c r="T323" s="1293"/>
      <c r="U323" s="1293"/>
      <c r="W323" s="1293" t="str">
        <f>'🔵クレーム'!C314</f>
        <v/>
      </c>
      <c r="X323" s="1293" t="str">
        <f>'🔵クレーム'!D314</f>
        <v/>
      </c>
      <c r="Y323" s="1292" t="str">
        <f>'🔵クレーム'!I314</f>
        <v/>
      </c>
      <c r="Z323" s="1293" t="str">
        <f>'🔵クレーム'!J314</f>
        <v/>
      </c>
      <c r="AA323" s="1293" t="str">
        <f>'🔵クレーム'!K314</f>
        <v/>
      </c>
      <c r="AB323" s="1293" t="str">
        <f>'🔵クレーム'!L314</f>
        <v/>
      </c>
      <c r="AC323" s="1295" t="str">
        <f>'🔵クレーム'!N314</f>
        <v/>
      </c>
      <c r="AH323" s="274"/>
    </row>
    <row r="324">
      <c r="B324" s="1282"/>
      <c r="C324" s="1282"/>
      <c r="D324" s="1282"/>
      <c r="E324" s="351"/>
      <c r="F324" s="1282"/>
      <c r="G324" s="1282"/>
      <c r="H324" s="1282"/>
      <c r="I324" s="1282"/>
      <c r="J324" s="1282" t="s">
        <v>903</v>
      </c>
      <c r="K324" s="1282"/>
      <c r="L324" s="1282"/>
      <c r="O324" s="1293"/>
      <c r="P324" s="1293"/>
      <c r="Q324" s="1293"/>
      <c r="R324" s="1293"/>
      <c r="S324" s="1293"/>
      <c r="T324" s="1293"/>
      <c r="U324" s="1293"/>
      <c r="W324" s="1293" t="str">
        <f>'🔵クレーム'!C315</f>
        <v/>
      </c>
      <c r="X324" s="1293" t="str">
        <f>'🔵クレーム'!D315</f>
        <v/>
      </c>
      <c r="Y324" s="1292" t="str">
        <f>'🔵クレーム'!I315</f>
        <v/>
      </c>
      <c r="Z324" s="1293" t="str">
        <f>'🔵クレーム'!J315</f>
        <v/>
      </c>
      <c r="AA324" s="1293" t="str">
        <f>'🔵クレーム'!K315</f>
        <v/>
      </c>
      <c r="AB324" s="1293" t="str">
        <f>'🔵クレーム'!L315</f>
        <v/>
      </c>
      <c r="AC324" s="1295" t="str">
        <f>'🔵クレーム'!N315</f>
        <v/>
      </c>
      <c r="AH324" s="274"/>
    </row>
    <row r="325">
      <c r="B325" s="1282"/>
      <c r="C325" s="1282"/>
      <c r="D325" s="1282"/>
      <c r="E325" s="351"/>
      <c r="F325" s="1282"/>
      <c r="G325" s="1282"/>
      <c r="H325" s="1282"/>
      <c r="I325" s="1282"/>
      <c r="J325" s="1282" t="s">
        <v>903</v>
      </c>
      <c r="K325" s="1282"/>
      <c r="L325" s="1282"/>
      <c r="O325" s="1293"/>
      <c r="P325" s="1293"/>
      <c r="Q325" s="1293"/>
      <c r="R325" s="1293"/>
      <c r="S325" s="1293"/>
      <c r="T325" s="1293"/>
      <c r="U325" s="1293"/>
      <c r="W325" s="1293" t="str">
        <f>'🔵クレーム'!C316</f>
        <v/>
      </c>
      <c r="X325" s="1293" t="str">
        <f>'🔵クレーム'!D316</f>
        <v/>
      </c>
      <c r="Y325" s="1292" t="str">
        <f>'🔵クレーム'!I316</f>
        <v/>
      </c>
      <c r="Z325" s="1293" t="str">
        <f>'🔵クレーム'!J316</f>
        <v/>
      </c>
      <c r="AA325" s="1293" t="str">
        <f>'🔵クレーム'!K316</f>
        <v/>
      </c>
      <c r="AB325" s="1293" t="str">
        <f>'🔵クレーム'!L316</f>
        <v/>
      </c>
      <c r="AC325" s="1295" t="str">
        <f>'🔵クレーム'!N316</f>
        <v/>
      </c>
      <c r="AH325" s="274"/>
    </row>
    <row r="326">
      <c r="B326" s="1282"/>
      <c r="C326" s="1282"/>
      <c r="D326" s="1282"/>
      <c r="E326" s="351"/>
      <c r="F326" s="1282"/>
      <c r="G326" s="1282"/>
      <c r="H326" s="1282"/>
      <c r="I326" s="1282"/>
      <c r="J326" s="1282" t="s">
        <v>903</v>
      </c>
      <c r="K326" s="1282"/>
      <c r="L326" s="1282"/>
      <c r="O326" s="1293"/>
      <c r="P326" s="1293"/>
      <c r="Q326" s="1293"/>
      <c r="R326" s="1293"/>
      <c r="S326" s="1293"/>
      <c r="T326" s="1293"/>
      <c r="U326" s="1293"/>
      <c r="W326" s="1293" t="str">
        <f>'🔵クレーム'!C317</f>
        <v/>
      </c>
      <c r="X326" s="1293" t="str">
        <f>'🔵クレーム'!D317</f>
        <v/>
      </c>
      <c r="Y326" s="1292" t="str">
        <f>'🔵クレーム'!I317</f>
        <v/>
      </c>
      <c r="Z326" s="1293" t="str">
        <f>'🔵クレーム'!J317</f>
        <v/>
      </c>
      <c r="AA326" s="1293" t="str">
        <f>'🔵クレーム'!K317</f>
        <v/>
      </c>
      <c r="AB326" s="1293" t="str">
        <f>'🔵クレーム'!L317</f>
        <v/>
      </c>
      <c r="AC326" s="1295" t="str">
        <f>'🔵クレーム'!N317</f>
        <v/>
      </c>
      <c r="AH326" s="274"/>
    </row>
    <row r="327">
      <c r="B327" s="1282"/>
      <c r="C327" s="1282"/>
      <c r="D327" s="1282"/>
      <c r="E327" s="351"/>
      <c r="F327" s="1282"/>
      <c r="G327" s="1282"/>
      <c r="H327" s="1282"/>
      <c r="I327" s="1282"/>
      <c r="J327" s="1282" t="s">
        <v>903</v>
      </c>
      <c r="K327" s="1282"/>
      <c r="L327" s="1282"/>
      <c r="O327" s="1293"/>
      <c r="P327" s="1293"/>
      <c r="Q327" s="1293"/>
      <c r="R327" s="1293"/>
      <c r="S327" s="1293"/>
      <c r="T327" s="1293"/>
      <c r="U327" s="1293"/>
      <c r="W327" s="1293" t="str">
        <f>'🔵クレーム'!C318</f>
        <v/>
      </c>
      <c r="X327" s="1293" t="str">
        <f>'🔵クレーム'!D318</f>
        <v/>
      </c>
      <c r="Y327" s="1292" t="str">
        <f>'🔵クレーム'!I318</f>
        <v/>
      </c>
      <c r="Z327" s="1293" t="str">
        <f>'🔵クレーム'!J318</f>
        <v/>
      </c>
      <c r="AA327" s="1293" t="str">
        <f>'🔵クレーム'!K318</f>
        <v/>
      </c>
      <c r="AB327" s="1293" t="str">
        <f>'🔵クレーム'!L318</f>
        <v/>
      </c>
      <c r="AC327" s="1295" t="str">
        <f>'🔵クレーム'!N318</f>
        <v/>
      </c>
      <c r="AH327" s="274"/>
    </row>
    <row r="328">
      <c r="B328" s="1282"/>
      <c r="C328" s="1282"/>
      <c r="D328" s="1282"/>
      <c r="E328" s="351"/>
      <c r="F328" s="1282"/>
      <c r="G328" s="1282"/>
      <c r="H328" s="1282"/>
      <c r="I328" s="1282"/>
      <c r="J328" s="1282" t="s">
        <v>903</v>
      </c>
      <c r="K328" s="1282"/>
      <c r="L328" s="1282"/>
      <c r="O328" s="1293"/>
      <c r="P328" s="1293"/>
      <c r="Q328" s="1293"/>
      <c r="R328" s="1293"/>
      <c r="S328" s="1293"/>
      <c r="T328" s="1293"/>
      <c r="U328" s="1293"/>
      <c r="W328" s="1293" t="str">
        <f>'🔵クレーム'!C319</f>
        <v/>
      </c>
      <c r="X328" s="1293" t="str">
        <f>'🔵クレーム'!D319</f>
        <v/>
      </c>
      <c r="Y328" s="1292" t="str">
        <f>'🔵クレーム'!I319</f>
        <v/>
      </c>
      <c r="Z328" s="1293" t="str">
        <f>'🔵クレーム'!J319</f>
        <v/>
      </c>
      <c r="AA328" s="1293" t="str">
        <f>'🔵クレーム'!K319</f>
        <v/>
      </c>
      <c r="AB328" s="1293" t="str">
        <f>'🔵クレーム'!L319</f>
        <v/>
      </c>
      <c r="AC328" s="1295" t="str">
        <f>'🔵クレーム'!N319</f>
        <v/>
      </c>
      <c r="AH328" s="274"/>
    </row>
    <row r="329">
      <c r="B329" s="1282"/>
      <c r="C329" s="1282"/>
      <c r="D329" s="1282"/>
      <c r="E329" s="351"/>
      <c r="F329" s="1282"/>
      <c r="G329" s="1282"/>
      <c r="H329" s="1282"/>
      <c r="I329" s="1282"/>
      <c r="J329" s="1282" t="s">
        <v>903</v>
      </c>
      <c r="K329" s="1282"/>
      <c r="L329" s="1282"/>
      <c r="O329" s="1293"/>
      <c r="P329" s="1293"/>
      <c r="Q329" s="1293"/>
      <c r="R329" s="1293"/>
      <c r="S329" s="1293"/>
      <c r="T329" s="1293"/>
      <c r="U329" s="1293"/>
      <c r="W329" s="1293" t="str">
        <f>'🔵クレーム'!C320</f>
        <v/>
      </c>
      <c r="X329" s="1293" t="str">
        <f>'🔵クレーム'!D320</f>
        <v/>
      </c>
      <c r="Y329" s="1292" t="str">
        <f>'🔵クレーム'!I320</f>
        <v/>
      </c>
      <c r="Z329" s="1293" t="str">
        <f>'🔵クレーム'!J320</f>
        <v/>
      </c>
      <c r="AA329" s="1293" t="str">
        <f>'🔵クレーム'!K320</f>
        <v/>
      </c>
      <c r="AB329" s="1293" t="str">
        <f>'🔵クレーム'!L320</f>
        <v/>
      </c>
      <c r="AC329" s="1295" t="str">
        <f>'🔵クレーム'!N320</f>
        <v/>
      </c>
      <c r="AH329" s="274"/>
    </row>
    <row r="330">
      <c r="B330" s="1282"/>
      <c r="C330" s="1282"/>
      <c r="D330" s="1282"/>
      <c r="E330" s="351"/>
      <c r="F330" s="1282"/>
      <c r="G330" s="1282"/>
      <c r="H330" s="1282"/>
      <c r="I330" s="1282"/>
      <c r="J330" s="1282" t="s">
        <v>903</v>
      </c>
      <c r="K330" s="1282"/>
      <c r="L330" s="1282"/>
      <c r="O330" s="1293"/>
      <c r="P330" s="1293"/>
      <c r="Q330" s="1293"/>
      <c r="R330" s="1293"/>
      <c r="S330" s="1293"/>
      <c r="T330" s="1293"/>
      <c r="U330" s="1293"/>
      <c r="W330" s="1293" t="str">
        <f>'🔵クレーム'!C321</f>
        <v/>
      </c>
      <c r="X330" s="1293" t="str">
        <f>'🔵クレーム'!D321</f>
        <v/>
      </c>
      <c r="Y330" s="1292" t="str">
        <f>'🔵クレーム'!I321</f>
        <v/>
      </c>
      <c r="Z330" s="1293" t="str">
        <f>'🔵クレーム'!J321</f>
        <v/>
      </c>
      <c r="AA330" s="1293" t="str">
        <f>'🔵クレーム'!K321</f>
        <v/>
      </c>
      <c r="AB330" s="1293" t="str">
        <f>'🔵クレーム'!L321</f>
        <v/>
      </c>
      <c r="AC330" s="1295" t="str">
        <f>'🔵クレーム'!N321</f>
        <v/>
      </c>
      <c r="AH330" s="274"/>
    </row>
    <row r="331">
      <c r="B331" s="1282"/>
      <c r="C331" s="1282"/>
      <c r="D331" s="1282"/>
      <c r="E331" s="351"/>
      <c r="F331" s="1282"/>
      <c r="G331" s="1282"/>
      <c r="H331" s="1282"/>
      <c r="I331" s="1282"/>
      <c r="J331" s="1282" t="s">
        <v>903</v>
      </c>
      <c r="K331" s="1282"/>
      <c r="L331" s="1282"/>
      <c r="O331" s="1293"/>
      <c r="P331" s="1293"/>
      <c r="Q331" s="1293"/>
      <c r="R331" s="1293"/>
      <c r="S331" s="1293"/>
      <c r="T331" s="1293"/>
      <c r="U331" s="1293"/>
      <c r="W331" s="1293" t="str">
        <f>'🔵クレーム'!C322</f>
        <v/>
      </c>
      <c r="X331" s="1293" t="str">
        <f>'🔵クレーム'!D322</f>
        <v/>
      </c>
      <c r="Y331" s="1292" t="str">
        <f>'🔵クレーム'!I322</f>
        <v/>
      </c>
      <c r="Z331" s="1293" t="str">
        <f>'🔵クレーム'!J322</f>
        <v/>
      </c>
      <c r="AA331" s="1293" t="str">
        <f>'🔵クレーム'!K322</f>
        <v/>
      </c>
      <c r="AB331" s="1293" t="str">
        <f>'🔵クレーム'!L322</f>
        <v/>
      </c>
      <c r="AC331" s="1295" t="str">
        <f>'🔵クレーム'!N322</f>
        <v/>
      </c>
      <c r="AH331" s="274"/>
    </row>
    <row r="332">
      <c r="B332" s="1282"/>
      <c r="C332" s="1282"/>
      <c r="D332" s="1282"/>
      <c r="E332" s="351"/>
      <c r="F332" s="1282"/>
      <c r="G332" s="1282"/>
      <c r="H332" s="1282"/>
      <c r="I332" s="1282"/>
      <c r="J332" s="1282" t="s">
        <v>903</v>
      </c>
      <c r="K332" s="1282"/>
      <c r="L332" s="1282"/>
      <c r="O332" s="1293"/>
      <c r="P332" s="1293"/>
      <c r="Q332" s="1293"/>
      <c r="R332" s="1293"/>
      <c r="S332" s="1293"/>
      <c r="T332" s="1293"/>
      <c r="U332" s="1293"/>
      <c r="W332" s="1293" t="str">
        <f>'🔵クレーム'!C323</f>
        <v/>
      </c>
      <c r="X332" s="1293" t="str">
        <f>'🔵クレーム'!D323</f>
        <v/>
      </c>
      <c r="Y332" s="1292" t="str">
        <f>'🔵クレーム'!I323</f>
        <v/>
      </c>
      <c r="Z332" s="1293" t="str">
        <f>'🔵クレーム'!J323</f>
        <v/>
      </c>
      <c r="AA332" s="1293" t="str">
        <f>'🔵クレーム'!K323</f>
        <v/>
      </c>
      <c r="AB332" s="1293" t="str">
        <f>'🔵クレーム'!L323</f>
        <v/>
      </c>
      <c r="AC332" s="1295" t="str">
        <f>'🔵クレーム'!N323</f>
        <v/>
      </c>
      <c r="AH332" s="274"/>
    </row>
    <row r="333">
      <c r="B333" s="1282"/>
      <c r="C333" s="1282"/>
      <c r="D333" s="1282"/>
      <c r="E333" s="351"/>
      <c r="F333" s="1282"/>
      <c r="G333" s="1282"/>
      <c r="H333" s="1282"/>
      <c r="I333" s="1282"/>
      <c r="J333" s="1282" t="s">
        <v>903</v>
      </c>
      <c r="K333" s="1282"/>
      <c r="L333" s="1282"/>
      <c r="O333" s="1293"/>
      <c r="P333" s="1293"/>
      <c r="Q333" s="1293"/>
      <c r="R333" s="1293"/>
      <c r="S333" s="1293"/>
      <c r="T333" s="1293"/>
      <c r="U333" s="1293"/>
      <c r="W333" s="1293" t="str">
        <f>'🔵クレーム'!C324</f>
        <v/>
      </c>
      <c r="X333" s="1293" t="str">
        <f>'🔵クレーム'!D324</f>
        <v/>
      </c>
      <c r="Y333" s="1292" t="str">
        <f>'🔵クレーム'!I324</f>
        <v/>
      </c>
      <c r="Z333" s="1293" t="str">
        <f>'🔵クレーム'!J324</f>
        <v/>
      </c>
      <c r="AA333" s="1293" t="str">
        <f>'🔵クレーム'!K324</f>
        <v/>
      </c>
      <c r="AB333" s="1293" t="str">
        <f>'🔵クレーム'!L324</f>
        <v/>
      </c>
      <c r="AC333" s="1295" t="str">
        <f>'🔵クレーム'!N324</f>
        <v/>
      </c>
      <c r="AH333" s="274"/>
    </row>
    <row r="334">
      <c r="B334" s="1282"/>
      <c r="C334" s="1282"/>
      <c r="D334" s="1282"/>
      <c r="E334" s="351"/>
      <c r="F334" s="1282"/>
      <c r="G334" s="1282"/>
      <c r="H334" s="1282"/>
      <c r="I334" s="1282"/>
      <c r="J334" s="1282" t="s">
        <v>903</v>
      </c>
      <c r="K334" s="1282"/>
      <c r="L334" s="1282"/>
      <c r="O334" s="1293"/>
      <c r="P334" s="1293"/>
      <c r="Q334" s="1293"/>
      <c r="R334" s="1293"/>
      <c r="S334" s="1293"/>
      <c r="T334" s="1293"/>
      <c r="U334" s="1293"/>
      <c r="W334" s="1293" t="str">
        <f>'🔵クレーム'!C325</f>
        <v/>
      </c>
      <c r="X334" s="1293" t="str">
        <f>'🔵クレーム'!D325</f>
        <v/>
      </c>
      <c r="Y334" s="1292" t="str">
        <f>'🔵クレーム'!I325</f>
        <v/>
      </c>
      <c r="Z334" s="1293" t="str">
        <f>'🔵クレーム'!J325</f>
        <v/>
      </c>
      <c r="AA334" s="1293" t="str">
        <f>'🔵クレーム'!K325</f>
        <v/>
      </c>
      <c r="AB334" s="1293" t="str">
        <f>'🔵クレーム'!L325</f>
        <v/>
      </c>
      <c r="AC334" s="1295" t="str">
        <f>'🔵クレーム'!N325</f>
        <v/>
      </c>
      <c r="AH334" s="274"/>
    </row>
    <row r="335">
      <c r="B335" s="1282"/>
      <c r="C335" s="1282"/>
      <c r="D335" s="1282"/>
      <c r="E335" s="351"/>
      <c r="F335" s="1282"/>
      <c r="G335" s="1282"/>
      <c r="H335" s="1282"/>
      <c r="I335" s="1282"/>
      <c r="J335" s="1282" t="s">
        <v>903</v>
      </c>
      <c r="K335" s="1282"/>
      <c r="L335" s="1282"/>
      <c r="O335" s="1293"/>
      <c r="P335" s="1293"/>
      <c r="Q335" s="1293"/>
      <c r="R335" s="1293"/>
      <c r="S335" s="1293"/>
      <c r="T335" s="1293"/>
      <c r="U335" s="1293"/>
      <c r="W335" s="1293" t="str">
        <f>'🔵クレーム'!C326</f>
        <v/>
      </c>
      <c r="X335" s="1293" t="str">
        <f>'🔵クレーム'!D326</f>
        <v/>
      </c>
      <c r="Y335" s="1292" t="str">
        <f>'🔵クレーム'!I326</f>
        <v/>
      </c>
      <c r="Z335" s="1293" t="str">
        <f>'🔵クレーム'!J326</f>
        <v/>
      </c>
      <c r="AA335" s="1293" t="str">
        <f>'🔵クレーム'!K326</f>
        <v/>
      </c>
      <c r="AB335" s="1293" t="str">
        <f>'🔵クレーム'!L326</f>
        <v/>
      </c>
      <c r="AC335" s="1295" t="str">
        <f>'🔵クレーム'!N326</f>
        <v/>
      </c>
      <c r="AH335" s="274"/>
    </row>
    <row r="336">
      <c r="B336" s="1282"/>
      <c r="C336" s="1282"/>
      <c r="D336" s="1282"/>
      <c r="E336" s="351"/>
      <c r="F336" s="1282"/>
      <c r="G336" s="1282"/>
      <c r="H336" s="1282"/>
      <c r="I336" s="1282"/>
      <c r="J336" s="1282" t="s">
        <v>903</v>
      </c>
      <c r="K336" s="1282"/>
      <c r="L336" s="1282"/>
      <c r="O336" s="1293"/>
      <c r="P336" s="1293"/>
      <c r="Q336" s="1293"/>
      <c r="R336" s="1293"/>
      <c r="S336" s="1293"/>
      <c r="T336" s="1293"/>
      <c r="U336" s="1293"/>
      <c r="W336" s="1293" t="str">
        <f>'🔵クレーム'!C327</f>
        <v/>
      </c>
      <c r="X336" s="1293" t="str">
        <f>'🔵クレーム'!D327</f>
        <v/>
      </c>
      <c r="Y336" s="1292" t="str">
        <f>'🔵クレーム'!I327</f>
        <v/>
      </c>
      <c r="Z336" s="1293" t="str">
        <f>'🔵クレーム'!J327</f>
        <v/>
      </c>
      <c r="AA336" s="1293" t="str">
        <f>'🔵クレーム'!K327</f>
        <v/>
      </c>
      <c r="AB336" s="1293" t="str">
        <f>'🔵クレーム'!L327</f>
        <v/>
      </c>
      <c r="AC336" s="1295" t="str">
        <f>'🔵クレーム'!N327</f>
        <v/>
      </c>
      <c r="AH336" s="274"/>
    </row>
    <row r="337">
      <c r="B337" s="1282"/>
      <c r="C337" s="1282"/>
      <c r="D337" s="1282"/>
      <c r="E337" s="351"/>
      <c r="F337" s="1282"/>
      <c r="G337" s="1282"/>
      <c r="H337" s="1282"/>
      <c r="I337" s="1282"/>
      <c r="J337" s="1282" t="s">
        <v>903</v>
      </c>
      <c r="K337" s="1282"/>
      <c r="L337" s="1282"/>
      <c r="O337" s="1293"/>
      <c r="P337" s="1293"/>
      <c r="Q337" s="1293"/>
      <c r="R337" s="1293"/>
      <c r="S337" s="1293"/>
      <c r="T337" s="1293"/>
      <c r="U337" s="1293"/>
      <c r="W337" s="1293" t="str">
        <f>'🔵クレーム'!C328</f>
        <v/>
      </c>
      <c r="X337" s="1293" t="str">
        <f>'🔵クレーム'!D328</f>
        <v/>
      </c>
      <c r="Y337" s="1292" t="str">
        <f>'🔵クレーム'!I328</f>
        <v/>
      </c>
      <c r="Z337" s="1293" t="str">
        <f>'🔵クレーム'!J328</f>
        <v/>
      </c>
      <c r="AA337" s="1293" t="str">
        <f>'🔵クレーム'!K328</f>
        <v/>
      </c>
      <c r="AB337" s="1293" t="str">
        <f>'🔵クレーム'!L328</f>
        <v/>
      </c>
      <c r="AC337" s="1295" t="str">
        <f>'🔵クレーム'!N328</f>
        <v/>
      </c>
      <c r="AH337" s="274"/>
    </row>
    <row r="338">
      <c r="B338" s="1282"/>
      <c r="C338" s="1282"/>
      <c r="D338" s="1282"/>
      <c r="E338" s="351"/>
      <c r="F338" s="1282"/>
      <c r="G338" s="1282"/>
      <c r="H338" s="1282"/>
      <c r="I338" s="1282"/>
      <c r="J338" s="1282" t="s">
        <v>903</v>
      </c>
      <c r="K338" s="1282"/>
      <c r="L338" s="1282"/>
      <c r="O338" s="1293"/>
      <c r="P338" s="1293"/>
      <c r="Q338" s="1293"/>
      <c r="R338" s="1293"/>
      <c r="S338" s="1293"/>
      <c r="T338" s="1293"/>
      <c r="U338" s="1293"/>
      <c r="W338" s="1293" t="str">
        <f>'🔵クレーム'!C329</f>
        <v/>
      </c>
      <c r="X338" s="1293" t="str">
        <f>'🔵クレーム'!D329</f>
        <v/>
      </c>
      <c r="Y338" s="1292" t="str">
        <f>'🔵クレーム'!I329</f>
        <v/>
      </c>
      <c r="Z338" s="1293" t="str">
        <f>'🔵クレーム'!J329</f>
        <v/>
      </c>
      <c r="AA338" s="1293" t="str">
        <f>'🔵クレーム'!K329</f>
        <v/>
      </c>
      <c r="AB338" s="1293" t="str">
        <f>'🔵クレーム'!L329</f>
        <v/>
      </c>
      <c r="AC338" s="1295" t="str">
        <f>'🔵クレーム'!N329</f>
        <v/>
      </c>
      <c r="AH338" s="274"/>
    </row>
    <row r="339">
      <c r="B339" s="1282"/>
      <c r="C339" s="1282"/>
      <c r="D339" s="1282"/>
      <c r="E339" s="351"/>
      <c r="F339" s="1282"/>
      <c r="G339" s="1282"/>
      <c r="H339" s="1282"/>
      <c r="I339" s="1282"/>
      <c r="J339" s="1282" t="s">
        <v>903</v>
      </c>
      <c r="K339" s="1282"/>
      <c r="L339" s="1282"/>
      <c r="O339" s="1293"/>
      <c r="P339" s="1293"/>
      <c r="Q339" s="1293"/>
      <c r="R339" s="1293"/>
      <c r="S339" s="1293"/>
      <c r="T339" s="1293"/>
      <c r="U339" s="1293"/>
      <c r="W339" s="1293" t="str">
        <f>'🔵クレーム'!C330</f>
        <v/>
      </c>
      <c r="X339" s="1293" t="str">
        <f>'🔵クレーム'!D330</f>
        <v/>
      </c>
      <c r="Y339" s="1292" t="str">
        <f>'🔵クレーム'!I330</f>
        <v/>
      </c>
      <c r="Z339" s="1293" t="str">
        <f>'🔵クレーム'!J330</f>
        <v/>
      </c>
      <c r="AA339" s="1293" t="str">
        <f>'🔵クレーム'!K330</f>
        <v/>
      </c>
      <c r="AB339" s="1293" t="str">
        <f>'🔵クレーム'!L330</f>
        <v/>
      </c>
      <c r="AC339" s="1295" t="str">
        <f>'🔵クレーム'!N330</f>
        <v/>
      </c>
      <c r="AH339" s="274"/>
    </row>
    <row r="340">
      <c r="B340" s="1282"/>
      <c r="C340" s="1282"/>
      <c r="D340" s="1282"/>
      <c r="E340" s="351"/>
      <c r="F340" s="1282"/>
      <c r="G340" s="1282"/>
      <c r="H340" s="1282"/>
      <c r="I340" s="1282"/>
      <c r="J340" s="1282" t="s">
        <v>903</v>
      </c>
      <c r="K340" s="1282"/>
      <c r="L340" s="1282"/>
      <c r="O340" s="1293"/>
      <c r="P340" s="1293"/>
      <c r="Q340" s="1293"/>
      <c r="R340" s="1293"/>
      <c r="S340" s="1293"/>
      <c r="T340" s="1293"/>
      <c r="U340" s="1293"/>
      <c r="W340" s="1293" t="str">
        <f>'🔵クレーム'!C331</f>
        <v/>
      </c>
      <c r="X340" s="1293" t="str">
        <f>'🔵クレーム'!D331</f>
        <v/>
      </c>
      <c r="Y340" s="1292" t="str">
        <f>'🔵クレーム'!I331</f>
        <v/>
      </c>
      <c r="Z340" s="1293" t="str">
        <f>'🔵クレーム'!J331</f>
        <v/>
      </c>
      <c r="AA340" s="1293" t="str">
        <f>'🔵クレーム'!K331</f>
        <v/>
      </c>
      <c r="AB340" s="1293" t="str">
        <f>'🔵クレーム'!L331</f>
        <v/>
      </c>
      <c r="AC340" s="1295" t="str">
        <f>'🔵クレーム'!N331</f>
        <v/>
      </c>
      <c r="AH340" s="274"/>
    </row>
    <row r="341">
      <c r="B341" s="1282"/>
      <c r="C341" s="1282"/>
      <c r="D341" s="1282"/>
      <c r="E341" s="351"/>
      <c r="F341" s="1282"/>
      <c r="G341" s="1282"/>
      <c r="H341" s="1282"/>
      <c r="I341" s="1282"/>
      <c r="J341" s="1282" t="s">
        <v>903</v>
      </c>
      <c r="K341" s="1282"/>
      <c r="L341" s="1282"/>
      <c r="O341" s="1293"/>
      <c r="P341" s="1293"/>
      <c r="Q341" s="1293"/>
      <c r="R341" s="1293"/>
      <c r="S341" s="1293"/>
      <c r="T341" s="1293"/>
      <c r="U341" s="1293"/>
      <c r="W341" s="1293" t="str">
        <f>'🔵クレーム'!C332</f>
        <v/>
      </c>
      <c r="X341" s="1293" t="str">
        <f>'🔵クレーム'!D332</f>
        <v/>
      </c>
      <c r="Y341" s="1292" t="str">
        <f>'🔵クレーム'!I332</f>
        <v/>
      </c>
      <c r="Z341" s="1293" t="str">
        <f>'🔵クレーム'!J332</f>
        <v/>
      </c>
      <c r="AA341" s="1293" t="str">
        <f>'🔵クレーム'!K332</f>
        <v/>
      </c>
      <c r="AB341" s="1293" t="str">
        <f>'🔵クレーム'!L332</f>
        <v/>
      </c>
      <c r="AC341" s="1295" t="str">
        <f>'🔵クレーム'!N332</f>
        <v/>
      </c>
      <c r="AH341" s="274"/>
    </row>
    <row r="342">
      <c r="B342" s="1282"/>
      <c r="C342" s="1282"/>
      <c r="D342" s="1282"/>
      <c r="E342" s="351"/>
      <c r="F342" s="1282"/>
      <c r="G342" s="1282"/>
      <c r="H342" s="1282"/>
      <c r="I342" s="1282"/>
      <c r="J342" s="1282" t="s">
        <v>903</v>
      </c>
      <c r="K342" s="1282"/>
      <c r="L342" s="1282"/>
      <c r="O342" s="1293"/>
      <c r="P342" s="1293"/>
      <c r="Q342" s="1293"/>
      <c r="R342" s="1293"/>
      <c r="S342" s="1293"/>
      <c r="T342" s="1293"/>
      <c r="U342" s="1293"/>
      <c r="W342" s="1293" t="str">
        <f>'🔵クレーム'!C333</f>
        <v/>
      </c>
      <c r="X342" s="1293" t="str">
        <f>'🔵クレーム'!D333</f>
        <v/>
      </c>
      <c r="Y342" s="1292" t="str">
        <f>'🔵クレーム'!I333</f>
        <v/>
      </c>
      <c r="Z342" s="1293" t="str">
        <f>'🔵クレーム'!J333</f>
        <v/>
      </c>
      <c r="AA342" s="1293" t="str">
        <f>'🔵クレーム'!K333</f>
        <v/>
      </c>
      <c r="AB342" s="1293" t="str">
        <f>'🔵クレーム'!L333</f>
        <v/>
      </c>
      <c r="AC342" s="1295" t="str">
        <f>'🔵クレーム'!N333</f>
        <v/>
      </c>
      <c r="AH342" s="274"/>
    </row>
    <row r="343">
      <c r="B343" s="1282"/>
      <c r="C343" s="1282"/>
      <c r="D343" s="1282"/>
      <c r="E343" s="351"/>
      <c r="F343" s="1282"/>
      <c r="G343" s="1282"/>
      <c r="H343" s="1282"/>
      <c r="I343" s="1282"/>
      <c r="J343" s="1282" t="s">
        <v>903</v>
      </c>
      <c r="K343" s="1282"/>
      <c r="L343" s="1282"/>
      <c r="O343" s="1293"/>
      <c r="P343" s="1293"/>
      <c r="Q343" s="1293"/>
      <c r="R343" s="1293"/>
      <c r="S343" s="1293"/>
      <c r="T343" s="1293"/>
      <c r="U343" s="1293"/>
      <c r="W343" s="1293" t="str">
        <f>'🔵クレーム'!C334</f>
        <v/>
      </c>
      <c r="X343" s="1293" t="str">
        <f>'🔵クレーム'!D334</f>
        <v/>
      </c>
      <c r="Y343" s="1292" t="str">
        <f>'🔵クレーム'!I334</f>
        <v/>
      </c>
      <c r="Z343" s="1293" t="str">
        <f>'🔵クレーム'!J334</f>
        <v/>
      </c>
      <c r="AA343" s="1293" t="str">
        <f>'🔵クレーム'!K334</f>
        <v/>
      </c>
      <c r="AB343" s="1293" t="str">
        <f>'🔵クレーム'!L334</f>
        <v/>
      </c>
      <c r="AC343" s="1295" t="str">
        <f>'🔵クレーム'!N334</f>
        <v/>
      </c>
      <c r="AH343" s="274"/>
    </row>
    <row r="344">
      <c r="B344" s="1282"/>
      <c r="C344" s="1282"/>
      <c r="D344" s="1282"/>
      <c r="E344" s="351"/>
      <c r="F344" s="1282"/>
      <c r="G344" s="1282"/>
      <c r="H344" s="1282"/>
      <c r="I344" s="1282"/>
      <c r="J344" s="1282" t="s">
        <v>903</v>
      </c>
      <c r="K344" s="1282"/>
      <c r="L344" s="1282"/>
      <c r="O344" s="1293"/>
      <c r="P344" s="1293"/>
      <c r="Q344" s="1293"/>
      <c r="R344" s="1293"/>
      <c r="S344" s="1293"/>
      <c r="T344" s="1293"/>
      <c r="U344" s="1293"/>
      <c r="W344" s="1293" t="str">
        <f>'🔵クレーム'!C335</f>
        <v/>
      </c>
      <c r="X344" s="1293" t="str">
        <f>'🔵クレーム'!D335</f>
        <v/>
      </c>
      <c r="Y344" s="1292" t="str">
        <f>'🔵クレーム'!I335</f>
        <v/>
      </c>
      <c r="Z344" s="1293" t="str">
        <f>'🔵クレーム'!J335</f>
        <v/>
      </c>
      <c r="AA344" s="1293" t="str">
        <f>'🔵クレーム'!K335</f>
        <v/>
      </c>
      <c r="AB344" s="1293" t="str">
        <f>'🔵クレーム'!L335</f>
        <v/>
      </c>
      <c r="AC344" s="1295" t="str">
        <f>'🔵クレーム'!N335</f>
        <v/>
      </c>
      <c r="AH344" s="274"/>
    </row>
    <row r="345">
      <c r="B345" s="1282"/>
      <c r="C345" s="1282"/>
      <c r="D345" s="1282"/>
      <c r="E345" s="351"/>
      <c r="F345" s="1282"/>
      <c r="G345" s="1282"/>
      <c r="H345" s="1282"/>
      <c r="I345" s="1282"/>
      <c r="J345" s="1282" t="s">
        <v>903</v>
      </c>
      <c r="K345" s="1282"/>
      <c r="L345" s="1282"/>
      <c r="O345" s="1293"/>
      <c r="P345" s="1293"/>
      <c r="Q345" s="1293"/>
      <c r="R345" s="1293"/>
      <c r="S345" s="1293"/>
      <c r="T345" s="1293"/>
      <c r="U345" s="1293"/>
      <c r="W345" s="1293" t="str">
        <f>'🔵クレーム'!C336</f>
        <v/>
      </c>
      <c r="X345" s="1293" t="str">
        <f>'🔵クレーム'!D336</f>
        <v/>
      </c>
      <c r="Y345" s="1292" t="str">
        <f>'🔵クレーム'!I336</f>
        <v/>
      </c>
      <c r="Z345" s="1293" t="str">
        <f>'🔵クレーム'!J336</f>
        <v/>
      </c>
      <c r="AA345" s="1293" t="str">
        <f>'🔵クレーム'!K336</f>
        <v/>
      </c>
      <c r="AB345" s="1293" t="str">
        <f>'🔵クレーム'!L336</f>
        <v/>
      </c>
      <c r="AC345" s="1295" t="str">
        <f>'🔵クレーム'!N336</f>
        <v/>
      </c>
      <c r="AH345" s="274"/>
    </row>
    <row r="346">
      <c r="B346" s="1282"/>
      <c r="C346" s="1282"/>
      <c r="D346" s="1282"/>
      <c r="E346" s="351"/>
      <c r="F346" s="1282"/>
      <c r="G346" s="1282"/>
      <c r="H346" s="1282"/>
      <c r="I346" s="1282"/>
      <c r="J346" s="1282" t="s">
        <v>903</v>
      </c>
      <c r="K346" s="1282"/>
      <c r="L346" s="1282"/>
      <c r="O346" s="1293"/>
      <c r="P346" s="1293"/>
      <c r="Q346" s="1293"/>
      <c r="R346" s="1293"/>
      <c r="S346" s="1293"/>
      <c r="T346" s="1293"/>
      <c r="U346" s="1293"/>
      <c r="W346" s="1293" t="str">
        <f>'🔵クレーム'!C337</f>
        <v/>
      </c>
      <c r="X346" s="1293" t="str">
        <f>'🔵クレーム'!D337</f>
        <v/>
      </c>
      <c r="Y346" s="1292" t="str">
        <f>'🔵クレーム'!I337</f>
        <v/>
      </c>
      <c r="Z346" s="1293" t="str">
        <f>'🔵クレーム'!J337</f>
        <v/>
      </c>
      <c r="AA346" s="1293" t="str">
        <f>'🔵クレーム'!K337</f>
        <v/>
      </c>
      <c r="AB346" s="1293" t="str">
        <f>'🔵クレーム'!L337</f>
        <v/>
      </c>
      <c r="AC346" s="1295" t="str">
        <f>'🔵クレーム'!N337</f>
        <v/>
      </c>
      <c r="AH346" s="274"/>
    </row>
    <row r="347">
      <c r="B347" s="1282"/>
      <c r="C347" s="1282"/>
      <c r="D347" s="1282"/>
      <c r="E347" s="351"/>
      <c r="F347" s="1282"/>
      <c r="G347" s="1282"/>
      <c r="H347" s="1282"/>
      <c r="I347" s="1282"/>
      <c r="J347" s="1282" t="s">
        <v>903</v>
      </c>
      <c r="K347" s="1282"/>
      <c r="L347" s="1282"/>
      <c r="O347" s="1293"/>
      <c r="P347" s="1293"/>
      <c r="Q347" s="1293"/>
      <c r="R347" s="1293"/>
      <c r="S347" s="1293"/>
      <c r="T347" s="1293"/>
      <c r="U347" s="1293"/>
      <c r="W347" s="1293" t="str">
        <f>'🔵クレーム'!C338</f>
        <v/>
      </c>
      <c r="X347" s="1293" t="str">
        <f>'🔵クレーム'!D338</f>
        <v/>
      </c>
      <c r="Y347" s="1292" t="str">
        <f>'🔵クレーム'!I338</f>
        <v/>
      </c>
      <c r="Z347" s="1293" t="str">
        <f>'🔵クレーム'!J338</f>
        <v/>
      </c>
      <c r="AA347" s="1293" t="str">
        <f>'🔵クレーム'!K338</f>
        <v/>
      </c>
      <c r="AB347" s="1293" t="str">
        <f>'🔵クレーム'!L338</f>
        <v/>
      </c>
      <c r="AC347" s="1295" t="str">
        <f>'🔵クレーム'!N338</f>
        <v/>
      </c>
      <c r="AH347" s="274"/>
    </row>
    <row r="348">
      <c r="B348" s="1282"/>
      <c r="C348" s="1282"/>
      <c r="D348" s="1282"/>
      <c r="E348" s="351"/>
      <c r="F348" s="1282"/>
      <c r="G348" s="1282"/>
      <c r="H348" s="1282"/>
      <c r="I348" s="1282"/>
      <c r="J348" s="1282" t="s">
        <v>903</v>
      </c>
      <c r="K348" s="1282"/>
      <c r="L348" s="1282"/>
      <c r="O348" s="1293"/>
      <c r="P348" s="1293"/>
      <c r="Q348" s="1293"/>
      <c r="R348" s="1293"/>
      <c r="S348" s="1293"/>
      <c r="T348" s="1293"/>
      <c r="U348" s="1293"/>
      <c r="W348" s="1293" t="str">
        <f>'🔵クレーム'!C339</f>
        <v/>
      </c>
      <c r="X348" s="1293" t="str">
        <f>'🔵クレーム'!D339</f>
        <v/>
      </c>
      <c r="Y348" s="1292" t="str">
        <f>'🔵クレーム'!I339</f>
        <v/>
      </c>
      <c r="Z348" s="1293" t="str">
        <f>'🔵クレーム'!J339</f>
        <v/>
      </c>
      <c r="AA348" s="1293" t="str">
        <f>'🔵クレーム'!K339</f>
        <v/>
      </c>
      <c r="AB348" s="1293" t="str">
        <f>'🔵クレーム'!L339</f>
        <v/>
      </c>
      <c r="AC348" s="1295" t="str">
        <f>'🔵クレーム'!N339</f>
        <v/>
      </c>
      <c r="AH348" s="274"/>
    </row>
    <row r="349">
      <c r="B349" s="1282"/>
      <c r="C349" s="1282"/>
      <c r="D349" s="1282"/>
      <c r="E349" s="351"/>
      <c r="F349" s="1282"/>
      <c r="G349" s="1282"/>
      <c r="H349" s="1282"/>
      <c r="I349" s="1282"/>
      <c r="J349" s="1282" t="s">
        <v>903</v>
      </c>
      <c r="K349" s="1282"/>
      <c r="L349" s="1282"/>
      <c r="O349" s="1293"/>
      <c r="P349" s="1293"/>
      <c r="Q349" s="1293"/>
      <c r="R349" s="1293"/>
      <c r="S349" s="1293"/>
      <c r="T349" s="1293"/>
      <c r="U349" s="1293"/>
      <c r="W349" s="1293" t="str">
        <f>'🔵クレーム'!C340</f>
        <v/>
      </c>
      <c r="X349" s="1293" t="str">
        <f>'🔵クレーム'!D340</f>
        <v/>
      </c>
      <c r="Y349" s="1292" t="str">
        <f>'🔵クレーム'!I340</f>
        <v/>
      </c>
      <c r="Z349" s="1293" t="str">
        <f>'🔵クレーム'!J340</f>
        <v/>
      </c>
      <c r="AA349" s="1293" t="str">
        <f>'🔵クレーム'!K340</f>
        <v/>
      </c>
      <c r="AB349" s="1293" t="str">
        <f>'🔵クレーム'!L340</f>
        <v/>
      </c>
      <c r="AC349" s="1295" t="str">
        <f>'🔵クレーム'!N340</f>
        <v/>
      </c>
      <c r="AH349" s="274"/>
    </row>
    <row r="350">
      <c r="B350" s="1282"/>
      <c r="C350" s="1282"/>
      <c r="D350" s="1282"/>
      <c r="E350" s="351"/>
      <c r="F350" s="1282"/>
      <c r="G350" s="1282"/>
      <c r="H350" s="1282"/>
      <c r="I350" s="1282"/>
      <c r="J350" s="1282" t="s">
        <v>903</v>
      </c>
      <c r="K350" s="1282"/>
      <c r="L350" s="1282"/>
      <c r="O350" s="1293"/>
      <c r="P350" s="1293"/>
      <c r="Q350" s="1293"/>
      <c r="R350" s="1293"/>
      <c r="S350" s="1293"/>
      <c r="T350" s="1293"/>
      <c r="U350" s="1293"/>
      <c r="W350" s="1293" t="str">
        <f>'🔵クレーム'!C341</f>
        <v/>
      </c>
      <c r="X350" s="1293" t="str">
        <f>'🔵クレーム'!D341</f>
        <v/>
      </c>
      <c r="Y350" s="1292" t="str">
        <f>'🔵クレーム'!I341</f>
        <v/>
      </c>
      <c r="Z350" s="1293" t="str">
        <f>'🔵クレーム'!J341</f>
        <v/>
      </c>
      <c r="AA350" s="1293" t="str">
        <f>'🔵クレーム'!K341</f>
        <v/>
      </c>
      <c r="AB350" s="1293" t="str">
        <f>'🔵クレーム'!L341</f>
        <v/>
      </c>
      <c r="AC350" s="1295" t="str">
        <f>'🔵クレーム'!N341</f>
        <v/>
      </c>
      <c r="AH350" s="274"/>
    </row>
    <row r="351">
      <c r="B351" s="1282"/>
      <c r="C351" s="1282"/>
      <c r="D351" s="1282"/>
      <c r="E351" s="351"/>
      <c r="F351" s="1282"/>
      <c r="G351" s="1282"/>
      <c r="H351" s="1282"/>
      <c r="I351" s="1282"/>
      <c r="J351" s="1282" t="s">
        <v>903</v>
      </c>
      <c r="K351" s="1282"/>
      <c r="L351" s="1282"/>
      <c r="O351" s="1293"/>
      <c r="P351" s="1293"/>
      <c r="Q351" s="1293"/>
      <c r="R351" s="1293"/>
      <c r="S351" s="1293"/>
      <c r="T351" s="1293"/>
      <c r="U351" s="1293"/>
      <c r="W351" s="1293" t="str">
        <f>'🔵クレーム'!C342</f>
        <v/>
      </c>
      <c r="X351" s="1293" t="str">
        <f>'🔵クレーム'!D342</f>
        <v/>
      </c>
      <c r="Y351" s="1292" t="str">
        <f>'🔵クレーム'!I342</f>
        <v/>
      </c>
      <c r="Z351" s="1293" t="str">
        <f>'🔵クレーム'!J342</f>
        <v/>
      </c>
      <c r="AA351" s="1293" t="str">
        <f>'🔵クレーム'!K342</f>
        <v/>
      </c>
      <c r="AB351" s="1293" t="str">
        <f>'🔵クレーム'!L342</f>
        <v/>
      </c>
      <c r="AC351" s="1295" t="str">
        <f>'🔵クレーム'!N342</f>
        <v/>
      </c>
      <c r="AH351" s="274"/>
    </row>
    <row r="352">
      <c r="B352" s="1282"/>
      <c r="C352" s="1282"/>
      <c r="D352" s="1282"/>
      <c r="E352" s="351"/>
      <c r="F352" s="1282"/>
      <c r="G352" s="1282"/>
      <c r="H352" s="1282"/>
      <c r="I352" s="1282"/>
      <c r="J352" s="1282" t="s">
        <v>903</v>
      </c>
      <c r="K352" s="1282"/>
      <c r="L352" s="1282"/>
      <c r="O352" s="1293"/>
      <c r="P352" s="1293"/>
      <c r="Q352" s="1293"/>
      <c r="R352" s="1293"/>
      <c r="S352" s="1293"/>
      <c r="T352" s="1293"/>
      <c r="U352" s="1293"/>
      <c r="W352" s="1293" t="str">
        <f>'🔵クレーム'!C343</f>
        <v/>
      </c>
      <c r="X352" s="1293" t="str">
        <f>'🔵クレーム'!D343</f>
        <v/>
      </c>
      <c r="Y352" s="1292" t="str">
        <f>'🔵クレーム'!I343</f>
        <v/>
      </c>
      <c r="Z352" s="1293" t="str">
        <f>'🔵クレーム'!J343</f>
        <v/>
      </c>
      <c r="AA352" s="1293" t="str">
        <f>'🔵クレーム'!K343</f>
        <v/>
      </c>
      <c r="AB352" s="1293" t="str">
        <f>'🔵クレーム'!L343</f>
        <v/>
      </c>
      <c r="AC352" s="1295" t="str">
        <f>'🔵クレーム'!N343</f>
        <v/>
      </c>
      <c r="AH352" s="274"/>
    </row>
    <row r="353">
      <c r="B353" s="1282"/>
      <c r="C353" s="1282"/>
      <c r="D353" s="1282"/>
      <c r="E353" s="351"/>
      <c r="F353" s="1282"/>
      <c r="G353" s="1282"/>
      <c r="H353" s="1282"/>
      <c r="I353" s="1282"/>
      <c r="J353" s="1282" t="s">
        <v>903</v>
      </c>
      <c r="K353" s="1282"/>
      <c r="L353" s="1282"/>
      <c r="O353" s="1293"/>
      <c r="P353" s="1293"/>
      <c r="Q353" s="1293"/>
      <c r="R353" s="1293"/>
      <c r="S353" s="1293"/>
      <c r="T353" s="1293"/>
      <c r="U353" s="1293"/>
      <c r="W353" s="1293" t="str">
        <f>'🔵クレーム'!C344</f>
        <v/>
      </c>
      <c r="X353" s="1293" t="str">
        <f>'🔵クレーム'!D344</f>
        <v/>
      </c>
      <c r="Y353" s="1292" t="str">
        <f>'🔵クレーム'!I344</f>
        <v/>
      </c>
      <c r="Z353" s="1293" t="str">
        <f>'🔵クレーム'!J344</f>
        <v/>
      </c>
      <c r="AA353" s="1293" t="str">
        <f>'🔵クレーム'!K344</f>
        <v/>
      </c>
      <c r="AB353" s="1293" t="str">
        <f>'🔵クレーム'!L344</f>
        <v/>
      </c>
      <c r="AC353" s="1295" t="str">
        <f>'🔵クレーム'!N344</f>
        <v/>
      </c>
      <c r="AH353" s="274"/>
    </row>
    <row r="354">
      <c r="B354" s="1282"/>
      <c r="C354" s="1282"/>
      <c r="D354" s="1282"/>
      <c r="E354" s="351"/>
      <c r="F354" s="1282"/>
      <c r="G354" s="1282"/>
      <c r="H354" s="1282"/>
      <c r="I354" s="1282"/>
      <c r="J354" s="1282" t="s">
        <v>903</v>
      </c>
      <c r="K354" s="1282"/>
      <c r="L354" s="1282"/>
      <c r="O354" s="1293"/>
      <c r="P354" s="1293"/>
      <c r="Q354" s="1293"/>
      <c r="R354" s="1293"/>
      <c r="S354" s="1293"/>
      <c r="T354" s="1293"/>
      <c r="U354" s="1293"/>
      <c r="W354" s="1293" t="str">
        <f>'🔵クレーム'!C345</f>
        <v/>
      </c>
      <c r="X354" s="1293" t="str">
        <f>'🔵クレーム'!D345</f>
        <v/>
      </c>
      <c r="Y354" s="1292" t="str">
        <f>'🔵クレーム'!I345</f>
        <v/>
      </c>
      <c r="Z354" s="1293" t="str">
        <f>'🔵クレーム'!J345</f>
        <v/>
      </c>
      <c r="AA354" s="1293" t="str">
        <f>'🔵クレーム'!K345</f>
        <v/>
      </c>
      <c r="AB354" s="1293" t="str">
        <f>'🔵クレーム'!L345</f>
        <v/>
      </c>
      <c r="AC354" s="1295" t="str">
        <f>'🔵クレーム'!N345</f>
        <v/>
      </c>
      <c r="AH354" s="274"/>
    </row>
    <row r="355">
      <c r="B355" s="1282"/>
      <c r="C355" s="1282"/>
      <c r="D355" s="1282"/>
      <c r="E355" s="351"/>
      <c r="F355" s="1282"/>
      <c r="G355" s="1282"/>
      <c r="H355" s="1282"/>
      <c r="I355" s="1282"/>
      <c r="J355" s="1282" t="s">
        <v>903</v>
      </c>
      <c r="K355" s="1282"/>
      <c r="L355" s="1282"/>
      <c r="O355" s="1293"/>
      <c r="P355" s="1293"/>
      <c r="Q355" s="1293"/>
      <c r="R355" s="1293"/>
      <c r="S355" s="1293"/>
      <c r="T355" s="1293"/>
      <c r="U355" s="1293"/>
      <c r="W355" s="1293" t="str">
        <f>'🔵クレーム'!C346</f>
        <v/>
      </c>
      <c r="X355" s="1293" t="str">
        <f>'🔵クレーム'!D346</f>
        <v/>
      </c>
      <c r="Y355" s="1292" t="str">
        <f>'🔵クレーム'!I346</f>
        <v/>
      </c>
      <c r="Z355" s="1293" t="str">
        <f>'🔵クレーム'!J346</f>
        <v/>
      </c>
      <c r="AA355" s="1293" t="str">
        <f>'🔵クレーム'!K346</f>
        <v/>
      </c>
      <c r="AB355" s="1293" t="str">
        <f>'🔵クレーム'!L346</f>
        <v/>
      </c>
      <c r="AC355" s="1295" t="str">
        <f>'🔵クレーム'!N346</f>
        <v/>
      </c>
      <c r="AH355" s="274"/>
    </row>
    <row r="356">
      <c r="B356" s="1282"/>
      <c r="C356" s="1282"/>
      <c r="D356" s="1282"/>
      <c r="E356" s="351"/>
      <c r="F356" s="1282"/>
      <c r="G356" s="1282"/>
      <c r="H356" s="1282"/>
      <c r="I356" s="1282"/>
      <c r="J356" s="1282" t="s">
        <v>903</v>
      </c>
      <c r="K356" s="1282"/>
      <c r="L356" s="1282"/>
      <c r="O356" s="1293"/>
      <c r="P356" s="1293"/>
      <c r="Q356" s="1293"/>
      <c r="R356" s="1293"/>
      <c r="S356" s="1293"/>
      <c r="T356" s="1293"/>
      <c r="U356" s="1293"/>
      <c r="W356" s="1293" t="str">
        <f>'🔵クレーム'!C347</f>
        <v/>
      </c>
      <c r="X356" s="1293" t="str">
        <f>'🔵クレーム'!D347</f>
        <v/>
      </c>
      <c r="Y356" s="1292" t="str">
        <f>'🔵クレーム'!I347</f>
        <v/>
      </c>
      <c r="Z356" s="1293" t="str">
        <f>'🔵クレーム'!J347</f>
        <v/>
      </c>
      <c r="AA356" s="1293" t="str">
        <f>'🔵クレーム'!K347</f>
        <v/>
      </c>
      <c r="AB356" s="1293" t="str">
        <f>'🔵クレーム'!L347</f>
        <v/>
      </c>
      <c r="AC356" s="1295" t="str">
        <f>'🔵クレーム'!N347</f>
        <v/>
      </c>
      <c r="AH356" s="274"/>
    </row>
    <row r="357">
      <c r="B357" s="1282"/>
      <c r="C357" s="1282"/>
      <c r="D357" s="1282"/>
      <c r="E357" s="351"/>
      <c r="F357" s="1282"/>
      <c r="G357" s="1282"/>
      <c r="H357" s="1282"/>
      <c r="I357" s="1282"/>
      <c r="J357" s="1282" t="s">
        <v>903</v>
      </c>
      <c r="K357" s="1282"/>
      <c r="L357" s="1282"/>
      <c r="O357" s="1293"/>
      <c r="P357" s="1293"/>
      <c r="Q357" s="1293"/>
      <c r="R357" s="1293"/>
      <c r="S357" s="1293"/>
      <c r="T357" s="1293"/>
      <c r="U357" s="1293"/>
      <c r="W357" s="1293" t="str">
        <f>'🔵クレーム'!C348</f>
        <v/>
      </c>
      <c r="X357" s="1293" t="str">
        <f>'🔵クレーム'!D348</f>
        <v/>
      </c>
      <c r="Y357" s="1292" t="str">
        <f>'🔵クレーム'!I348</f>
        <v/>
      </c>
      <c r="Z357" s="1293" t="str">
        <f>'🔵クレーム'!J348</f>
        <v/>
      </c>
      <c r="AA357" s="1293" t="str">
        <f>'🔵クレーム'!K348</f>
        <v/>
      </c>
      <c r="AB357" s="1293" t="str">
        <f>'🔵クレーム'!L348</f>
        <v/>
      </c>
      <c r="AC357" s="1295" t="str">
        <f>'🔵クレーム'!N348</f>
        <v/>
      </c>
      <c r="AH357" s="274"/>
    </row>
    <row r="358">
      <c r="B358" s="1282"/>
      <c r="C358" s="1282"/>
      <c r="D358" s="1282"/>
      <c r="E358" s="351"/>
      <c r="F358" s="1282"/>
      <c r="G358" s="1282"/>
      <c r="H358" s="1282"/>
      <c r="I358" s="1282"/>
      <c r="J358" s="1282" t="s">
        <v>903</v>
      </c>
      <c r="K358" s="1282"/>
      <c r="L358" s="1282"/>
      <c r="O358" s="1293"/>
      <c r="P358" s="1293"/>
      <c r="Q358" s="1293"/>
      <c r="R358" s="1293"/>
      <c r="S358" s="1293"/>
      <c r="T358" s="1293"/>
      <c r="U358" s="1293"/>
      <c r="W358" s="1293" t="str">
        <f>'🔵クレーム'!C349</f>
        <v/>
      </c>
      <c r="X358" s="1293" t="str">
        <f>'🔵クレーム'!D349</f>
        <v/>
      </c>
      <c r="Y358" s="1292" t="str">
        <f>'🔵クレーム'!I349</f>
        <v/>
      </c>
      <c r="Z358" s="1293" t="str">
        <f>'🔵クレーム'!J349</f>
        <v/>
      </c>
      <c r="AA358" s="1293" t="str">
        <f>'🔵クレーム'!K349</f>
        <v/>
      </c>
      <c r="AB358" s="1293" t="str">
        <f>'🔵クレーム'!L349</f>
        <v/>
      </c>
      <c r="AC358" s="1295" t="str">
        <f>'🔵クレーム'!N349</f>
        <v/>
      </c>
      <c r="AH358" s="274"/>
    </row>
    <row r="359">
      <c r="B359" s="1282"/>
      <c r="C359" s="1282"/>
      <c r="D359" s="1282"/>
      <c r="E359" s="351"/>
      <c r="F359" s="1282"/>
      <c r="G359" s="1282"/>
      <c r="H359" s="1282"/>
      <c r="I359" s="1282"/>
      <c r="J359" s="1282" t="s">
        <v>903</v>
      </c>
      <c r="K359" s="1282"/>
      <c r="L359" s="1282"/>
      <c r="O359" s="1293"/>
      <c r="P359" s="1293"/>
      <c r="Q359" s="1293"/>
      <c r="R359" s="1293"/>
      <c r="S359" s="1293"/>
      <c r="T359" s="1293"/>
      <c r="U359" s="1293"/>
      <c r="W359" s="1293" t="str">
        <f>'🔵クレーム'!C350</f>
        <v/>
      </c>
      <c r="X359" s="1293" t="str">
        <f>'🔵クレーム'!D350</f>
        <v/>
      </c>
      <c r="Y359" s="1292" t="str">
        <f>'🔵クレーム'!I350</f>
        <v/>
      </c>
      <c r="Z359" s="1293" t="str">
        <f>'🔵クレーム'!J350</f>
        <v/>
      </c>
      <c r="AA359" s="1293" t="str">
        <f>'🔵クレーム'!K350</f>
        <v/>
      </c>
      <c r="AB359" s="1293" t="str">
        <f>'🔵クレーム'!L350</f>
        <v/>
      </c>
      <c r="AC359" s="1295" t="str">
        <f>'🔵クレーム'!N350</f>
        <v/>
      </c>
      <c r="AH359" s="274"/>
    </row>
    <row r="360">
      <c r="B360" s="1282"/>
      <c r="C360" s="1282"/>
      <c r="D360" s="1282"/>
      <c r="E360" s="351"/>
      <c r="F360" s="1282"/>
      <c r="G360" s="1282"/>
      <c r="H360" s="1282"/>
      <c r="I360" s="1282"/>
      <c r="J360" s="1282" t="s">
        <v>903</v>
      </c>
      <c r="K360" s="1282"/>
      <c r="L360" s="1282"/>
      <c r="O360" s="1293"/>
      <c r="P360" s="1293"/>
      <c r="Q360" s="1293"/>
      <c r="R360" s="1293"/>
      <c r="S360" s="1293"/>
      <c r="T360" s="1293"/>
      <c r="U360" s="1293"/>
      <c r="W360" s="1293" t="str">
        <f>'🔵クレーム'!C351</f>
        <v/>
      </c>
      <c r="X360" s="1293" t="str">
        <f>'🔵クレーム'!D351</f>
        <v/>
      </c>
      <c r="Y360" s="1292" t="str">
        <f>'🔵クレーム'!I351</f>
        <v/>
      </c>
      <c r="Z360" s="1293" t="str">
        <f>'🔵クレーム'!J351</f>
        <v/>
      </c>
      <c r="AA360" s="1293" t="str">
        <f>'🔵クレーム'!K351</f>
        <v/>
      </c>
      <c r="AB360" s="1293" t="str">
        <f>'🔵クレーム'!L351</f>
        <v/>
      </c>
      <c r="AC360" s="1295" t="str">
        <f>'🔵クレーム'!N351</f>
        <v/>
      </c>
      <c r="AH360" s="274"/>
    </row>
    <row r="361">
      <c r="B361" s="1282"/>
      <c r="C361" s="1282"/>
      <c r="D361" s="1282"/>
      <c r="E361" s="351"/>
      <c r="F361" s="1282"/>
      <c r="G361" s="1282"/>
      <c r="H361" s="1282"/>
      <c r="I361" s="1282"/>
      <c r="J361" s="1282" t="s">
        <v>903</v>
      </c>
      <c r="K361" s="1282"/>
      <c r="L361" s="1282"/>
      <c r="O361" s="1293"/>
      <c r="P361" s="1293"/>
      <c r="Q361" s="1293"/>
      <c r="R361" s="1293"/>
      <c r="S361" s="1293"/>
      <c r="T361" s="1293"/>
      <c r="U361" s="1293"/>
      <c r="W361" s="1293" t="str">
        <f>'🔵クレーム'!C352</f>
        <v/>
      </c>
      <c r="X361" s="1293" t="str">
        <f>'🔵クレーム'!D352</f>
        <v/>
      </c>
      <c r="Y361" s="1292" t="str">
        <f>'🔵クレーム'!I352</f>
        <v/>
      </c>
      <c r="Z361" s="1293" t="str">
        <f>'🔵クレーム'!J352</f>
        <v/>
      </c>
      <c r="AA361" s="1293" t="str">
        <f>'🔵クレーム'!K352</f>
        <v/>
      </c>
      <c r="AB361" s="1293" t="str">
        <f>'🔵クレーム'!L352</f>
        <v/>
      </c>
      <c r="AC361" s="1295" t="str">
        <f>'🔵クレーム'!N352</f>
        <v/>
      </c>
      <c r="AH361" s="274"/>
    </row>
    <row r="362">
      <c r="B362" s="1282"/>
      <c r="C362" s="1282"/>
      <c r="D362" s="1282"/>
      <c r="E362" s="351"/>
      <c r="F362" s="1282"/>
      <c r="G362" s="1282"/>
      <c r="H362" s="1282"/>
      <c r="I362" s="1282"/>
      <c r="J362" s="1282" t="s">
        <v>903</v>
      </c>
      <c r="K362" s="1282"/>
      <c r="L362" s="1282"/>
      <c r="O362" s="1293"/>
      <c r="P362" s="1293"/>
      <c r="Q362" s="1293"/>
      <c r="R362" s="1293"/>
      <c r="S362" s="1293"/>
      <c r="T362" s="1293"/>
      <c r="U362" s="1293"/>
      <c r="W362" s="1293" t="str">
        <f>'🔵クレーム'!C353</f>
        <v/>
      </c>
      <c r="X362" s="1293" t="str">
        <f>'🔵クレーム'!D353</f>
        <v/>
      </c>
      <c r="Y362" s="1292" t="str">
        <f>'🔵クレーム'!I353</f>
        <v/>
      </c>
      <c r="Z362" s="1293" t="str">
        <f>'🔵クレーム'!J353</f>
        <v/>
      </c>
      <c r="AA362" s="1293" t="str">
        <f>'🔵クレーム'!K353</f>
        <v/>
      </c>
      <c r="AB362" s="1293" t="str">
        <f>'🔵クレーム'!L353</f>
        <v/>
      </c>
      <c r="AC362" s="1295" t="str">
        <f>'🔵クレーム'!N353</f>
        <v/>
      </c>
      <c r="AH362" s="274"/>
    </row>
    <row r="363">
      <c r="B363" s="1282"/>
      <c r="C363" s="1282"/>
      <c r="D363" s="1282"/>
      <c r="E363" s="351"/>
      <c r="F363" s="1282"/>
      <c r="G363" s="1282"/>
      <c r="H363" s="1282"/>
      <c r="I363" s="1282"/>
      <c r="J363" s="1282" t="s">
        <v>903</v>
      </c>
      <c r="K363" s="1282"/>
      <c r="L363" s="1282"/>
      <c r="O363" s="1293"/>
      <c r="P363" s="1293"/>
      <c r="Q363" s="1293"/>
      <c r="R363" s="1293"/>
      <c r="S363" s="1293"/>
      <c r="T363" s="1293"/>
      <c r="U363" s="1293"/>
      <c r="W363" s="1293" t="str">
        <f>'🔵クレーム'!C354</f>
        <v/>
      </c>
      <c r="X363" s="1293" t="str">
        <f>'🔵クレーム'!D354</f>
        <v/>
      </c>
      <c r="Y363" s="1292" t="str">
        <f>'🔵クレーム'!I354</f>
        <v/>
      </c>
      <c r="Z363" s="1293" t="str">
        <f>'🔵クレーム'!J354</f>
        <v/>
      </c>
      <c r="AA363" s="1293" t="str">
        <f>'🔵クレーム'!K354</f>
        <v/>
      </c>
      <c r="AB363" s="1293" t="str">
        <f>'🔵クレーム'!L354</f>
        <v/>
      </c>
      <c r="AC363" s="1295" t="str">
        <f>'🔵クレーム'!N354</f>
        <v/>
      </c>
      <c r="AH363" s="274"/>
    </row>
    <row r="364">
      <c r="B364" s="1282"/>
      <c r="C364" s="1282"/>
      <c r="D364" s="1282"/>
      <c r="E364" s="351"/>
      <c r="F364" s="1282"/>
      <c r="G364" s="1282"/>
      <c r="H364" s="1282"/>
      <c r="I364" s="1282"/>
      <c r="J364" s="1282" t="s">
        <v>903</v>
      </c>
      <c r="K364" s="1282"/>
      <c r="L364" s="1282"/>
      <c r="O364" s="1293"/>
      <c r="P364" s="1293"/>
      <c r="Q364" s="1293"/>
      <c r="R364" s="1293"/>
      <c r="S364" s="1293"/>
      <c r="T364" s="1293"/>
      <c r="U364" s="1293"/>
      <c r="W364" s="1293" t="str">
        <f>'🔵クレーム'!C355</f>
        <v/>
      </c>
      <c r="X364" s="1293" t="str">
        <f>'🔵クレーム'!D355</f>
        <v/>
      </c>
      <c r="Y364" s="1292" t="str">
        <f>'🔵クレーム'!I355</f>
        <v/>
      </c>
      <c r="Z364" s="1293" t="str">
        <f>'🔵クレーム'!J355</f>
        <v/>
      </c>
      <c r="AA364" s="1293" t="str">
        <f>'🔵クレーム'!K355</f>
        <v/>
      </c>
      <c r="AB364" s="1293" t="str">
        <f>'🔵クレーム'!L355</f>
        <v/>
      </c>
      <c r="AC364" s="1295" t="str">
        <f>'🔵クレーム'!N355</f>
        <v/>
      </c>
      <c r="AH364" s="274"/>
    </row>
    <row r="365">
      <c r="B365" s="1282"/>
      <c r="C365" s="1282"/>
      <c r="D365" s="1282"/>
      <c r="E365" s="351"/>
      <c r="F365" s="1282"/>
      <c r="G365" s="1282"/>
      <c r="H365" s="1282"/>
      <c r="I365" s="1282"/>
      <c r="J365" s="1282" t="s">
        <v>903</v>
      </c>
      <c r="K365" s="1282"/>
      <c r="L365" s="1282"/>
      <c r="O365" s="1293"/>
      <c r="P365" s="1293"/>
      <c r="Q365" s="1293"/>
      <c r="R365" s="1293"/>
      <c r="S365" s="1293"/>
      <c r="T365" s="1293"/>
      <c r="U365" s="1293"/>
      <c r="W365" s="1293" t="str">
        <f>'🔵クレーム'!C356</f>
        <v/>
      </c>
      <c r="X365" s="1293" t="str">
        <f>'🔵クレーム'!D356</f>
        <v/>
      </c>
      <c r="Y365" s="1292" t="str">
        <f>'🔵クレーム'!I356</f>
        <v/>
      </c>
      <c r="Z365" s="1293" t="str">
        <f>'🔵クレーム'!J356</f>
        <v/>
      </c>
      <c r="AA365" s="1293" t="str">
        <f>'🔵クレーム'!K356</f>
        <v/>
      </c>
      <c r="AB365" s="1293" t="str">
        <f>'🔵クレーム'!L356</f>
        <v/>
      </c>
      <c r="AC365" s="1295" t="str">
        <f>'🔵クレーム'!N356</f>
        <v/>
      </c>
      <c r="AH365" s="274"/>
    </row>
    <row r="366">
      <c r="B366" s="1282"/>
      <c r="C366" s="1282"/>
      <c r="D366" s="1282"/>
      <c r="E366" s="351"/>
      <c r="F366" s="1282"/>
      <c r="G366" s="1282"/>
      <c r="H366" s="1282"/>
      <c r="I366" s="1282"/>
      <c r="J366" s="1282" t="s">
        <v>903</v>
      </c>
      <c r="K366" s="1282"/>
      <c r="L366" s="1282"/>
      <c r="O366" s="1293"/>
      <c r="P366" s="1293"/>
      <c r="Q366" s="1293"/>
      <c r="R366" s="1293"/>
      <c r="S366" s="1293"/>
      <c r="T366" s="1293"/>
      <c r="U366" s="1293"/>
      <c r="W366" s="1293" t="str">
        <f>'🔵クレーム'!C357</f>
        <v/>
      </c>
      <c r="X366" s="1293" t="str">
        <f>'🔵クレーム'!D357</f>
        <v/>
      </c>
      <c r="Y366" s="1292" t="str">
        <f>'🔵クレーム'!I357</f>
        <v/>
      </c>
      <c r="Z366" s="1293" t="str">
        <f>'🔵クレーム'!J357</f>
        <v/>
      </c>
      <c r="AA366" s="1293" t="str">
        <f>'🔵クレーム'!K357</f>
        <v/>
      </c>
      <c r="AB366" s="1293" t="str">
        <f>'🔵クレーム'!L357</f>
        <v/>
      </c>
      <c r="AC366" s="1295" t="str">
        <f>'🔵クレーム'!N357</f>
        <v/>
      </c>
      <c r="AH366" s="274"/>
    </row>
    <row r="367">
      <c r="B367" s="1282"/>
      <c r="C367" s="1282"/>
      <c r="D367" s="1282"/>
      <c r="E367" s="351"/>
      <c r="F367" s="1282"/>
      <c r="G367" s="1282"/>
      <c r="H367" s="1282"/>
      <c r="I367" s="1282"/>
      <c r="J367" s="1282" t="s">
        <v>903</v>
      </c>
      <c r="K367" s="1282"/>
      <c r="L367" s="1282"/>
      <c r="O367" s="1293"/>
      <c r="P367" s="1293"/>
      <c r="Q367" s="1293"/>
      <c r="R367" s="1293"/>
      <c r="S367" s="1293"/>
      <c r="T367" s="1293"/>
      <c r="U367" s="1293"/>
      <c r="W367" s="1293" t="str">
        <f>'🔵クレーム'!C358</f>
        <v/>
      </c>
      <c r="X367" s="1293" t="str">
        <f>'🔵クレーム'!D358</f>
        <v/>
      </c>
      <c r="Y367" s="1292" t="str">
        <f>'🔵クレーム'!I358</f>
        <v/>
      </c>
      <c r="Z367" s="1293" t="str">
        <f>'🔵クレーム'!J358</f>
        <v/>
      </c>
      <c r="AA367" s="1293" t="str">
        <f>'🔵クレーム'!K358</f>
        <v/>
      </c>
      <c r="AB367" s="1293" t="str">
        <f>'🔵クレーム'!L358</f>
        <v/>
      </c>
      <c r="AC367" s="1295" t="str">
        <f>'🔵クレーム'!N358</f>
        <v/>
      </c>
      <c r="AH367" s="274"/>
    </row>
    <row r="368">
      <c r="B368" s="1282"/>
      <c r="C368" s="1282"/>
      <c r="D368" s="1282"/>
      <c r="E368" s="351"/>
      <c r="F368" s="1282"/>
      <c r="G368" s="1282"/>
      <c r="H368" s="1282"/>
      <c r="I368" s="1282"/>
      <c r="J368" s="1282" t="s">
        <v>903</v>
      </c>
      <c r="K368" s="1282"/>
      <c r="L368" s="1282"/>
      <c r="O368" s="1293"/>
      <c r="P368" s="1293"/>
      <c r="Q368" s="1293"/>
      <c r="R368" s="1293"/>
      <c r="S368" s="1293"/>
      <c r="T368" s="1293"/>
      <c r="U368" s="1293"/>
      <c r="W368" s="1293" t="str">
        <f>'🔵クレーム'!C359</f>
        <v/>
      </c>
      <c r="X368" s="1293" t="str">
        <f>'🔵クレーム'!D359</f>
        <v/>
      </c>
      <c r="Y368" s="1292" t="str">
        <f>'🔵クレーム'!I359</f>
        <v/>
      </c>
      <c r="Z368" s="1293" t="str">
        <f>'🔵クレーム'!J359</f>
        <v/>
      </c>
      <c r="AA368" s="1293" t="str">
        <f>'🔵クレーム'!K359</f>
        <v/>
      </c>
      <c r="AB368" s="1293" t="str">
        <f>'🔵クレーム'!L359</f>
        <v/>
      </c>
      <c r="AC368" s="1295" t="str">
        <f>'🔵クレーム'!N359</f>
        <v/>
      </c>
      <c r="AH368" s="274"/>
    </row>
    <row r="369">
      <c r="B369" s="1282"/>
      <c r="C369" s="1282"/>
      <c r="D369" s="1282"/>
      <c r="E369" s="351"/>
      <c r="F369" s="1282"/>
      <c r="G369" s="1282"/>
      <c r="H369" s="1282"/>
      <c r="I369" s="1282"/>
      <c r="J369" s="1282" t="s">
        <v>903</v>
      </c>
      <c r="K369" s="1282"/>
      <c r="L369" s="1282"/>
      <c r="O369" s="1293"/>
      <c r="P369" s="1293"/>
      <c r="Q369" s="1293"/>
      <c r="R369" s="1293"/>
      <c r="S369" s="1293"/>
      <c r="T369" s="1293"/>
      <c r="U369" s="1293"/>
      <c r="W369" s="1293" t="str">
        <f>'🔵クレーム'!C360</f>
        <v/>
      </c>
      <c r="X369" s="1293" t="str">
        <f>'🔵クレーム'!D360</f>
        <v/>
      </c>
      <c r="Y369" s="1292" t="str">
        <f>'🔵クレーム'!I360</f>
        <v/>
      </c>
      <c r="Z369" s="1293" t="str">
        <f>'🔵クレーム'!J360</f>
        <v/>
      </c>
      <c r="AA369" s="1293" t="str">
        <f>'🔵クレーム'!K360</f>
        <v/>
      </c>
      <c r="AB369" s="1293" t="str">
        <f>'🔵クレーム'!L360</f>
        <v/>
      </c>
      <c r="AC369" s="1295" t="str">
        <f>'🔵クレーム'!N360</f>
        <v/>
      </c>
      <c r="AH369" s="274"/>
    </row>
    <row r="370">
      <c r="B370" s="1282"/>
      <c r="C370" s="1282"/>
      <c r="D370" s="1282"/>
      <c r="E370" s="351"/>
      <c r="F370" s="1282"/>
      <c r="G370" s="1282"/>
      <c r="H370" s="1282"/>
      <c r="I370" s="1282"/>
      <c r="J370" s="1282" t="s">
        <v>903</v>
      </c>
      <c r="K370" s="1282"/>
      <c r="L370" s="1282"/>
      <c r="O370" s="1293"/>
      <c r="P370" s="1293"/>
      <c r="Q370" s="1293"/>
      <c r="R370" s="1293"/>
      <c r="S370" s="1293"/>
      <c r="T370" s="1293"/>
      <c r="U370" s="1293"/>
      <c r="W370" s="1293" t="str">
        <f>'🔵クレーム'!C361</f>
        <v/>
      </c>
      <c r="X370" s="1293" t="str">
        <f>'🔵クレーム'!D361</f>
        <v/>
      </c>
      <c r="Y370" s="1292" t="str">
        <f>'🔵クレーム'!I361</f>
        <v/>
      </c>
      <c r="Z370" s="1293" t="str">
        <f>'🔵クレーム'!J361</f>
        <v/>
      </c>
      <c r="AA370" s="1293" t="str">
        <f>'🔵クレーム'!K361</f>
        <v/>
      </c>
      <c r="AB370" s="1293" t="str">
        <f>'🔵クレーム'!L361</f>
        <v/>
      </c>
      <c r="AC370" s="1295" t="str">
        <f>'🔵クレーム'!N361</f>
        <v/>
      </c>
      <c r="AH370" s="274"/>
    </row>
    <row r="371">
      <c r="B371" s="1282"/>
      <c r="C371" s="1282"/>
      <c r="D371" s="1282"/>
      <c r="E371" s="351"/>
      <c r="F371" s="1282"/>
      <c r="G371" s="1282"/>
      <c r="H371" s="1282"/>
      <c r="I371" s="1282"/>
      <c r="J371" s="1282" t="s">
        <v>903</v>
      </c>
      <c r="K371" s="1282"/>
      <c r="L371" s="1282"/>
      <c r="O371" s="1293"/>
      <c r="P371" s="1293"/>
      <c r="Q371" s="1293"/>
      <c r="R371" s="1293"/>
      <c r="S371" s="1293"/>
      <c r="T371" s="1293"/>
      <c r="U371" s="1293"/>
      <c r="W371" s="1293" t="str">
        <f>'🔵クレーム'!C362</f>
        <v/>
      </c>
      <c r="X371" s="1293" t="str">
        <f>'🔵クレーム'!D362</f>
        <v/>
      </c>
      <c r="Y371" s="1292" t="str">
        <f>'🔵クレーム'!I362</f>
        <v/>
      </c>
      <c r="Z371" s="1293" t="str">
        <f>'🔵クレーム'!J362</f>
        <v/>
      </c>
      <c r="AA371" s="1293" t="str">
        <f>'🔵クレーム'!K362</f>
        <v/>
      </c>
      <c r="AB371" s="1293" t="str">
        <f>'🔵クレーム'!L362</f>
        <v/>
      </c>
      <c r="AC371" s="1295" t="str">
        <f>'🔵クレーム'!N362</f>
        <v/>
      </c>
      <c r="AH371" s="274"/>
    </row>
    <row r="372">
      <c r="B372" s="1282"/>
      <c r="C372" s="1282"/>
      <c r="D372" s="1282"/>
      <c r="E372" s="351"/>
      <c r="F372" s="1282"/>
      <c r="G372" s="1282"/>
      <c r="H372" s="1282"/>
      <c r="I372" s="1282"/>
      <c r="J372" s="1282" t="s">
        <v>903</v>
      </c>
      <c r="K372" s="1282"/>
      <c r="L372" s="1282"/>
      <c r="O372" s="1293"/>
      <c r="P372" s="1293"/>
      <c r="Q372" s="1293"/>
      <c r="R372" s="1293"/>
      <c r="S372" s="1293"/>
      <c r="T372" s="1293"/>
      <c r="U372" s="1293"/>
      <c r="W372" s="1293" t="str">
        <f>'🔵クレーム'!C363</f>
        <v/>
      </c>
      <c r="X372" s="1293" t="str">
        <f>'🔵クレーム'!D363</f>
        <v/>
      </c>
      <c r="Y372" s="1292" t="str">
        <f>'🔵クレーム'!I363</f>
        <v/>
      </c>
      <c r="Z372" s="1293" t="str">
        <f>'🔵クレーム'!J363</f>
        <v/>
      </c>
      <c r="AA372" s="1293" t="str">
        <f>'🔵クレーム'!K363</f>
        <v/>
      </c>
      <c r="AB372" s="1293" t="str">
        <f>'🔵クレーム'!L363</f>
        <v/>
      </c>
      <c r="AC372" s="1295" t="str">
        <f>'🔵クレーム'!N363</f>
        <v/>
      </c>
      <c r="AH372" s="274"/>
    </row>
    <row r="373">
      <c r="B373" s="1282"/>
      <c r="C373" s="1282"/>
      <c r="D373" s="1282"/>
      <c r="E373" s="351"/>
      <c r="F373" s="1282"/>
      <c r="G373" s="1282"/>
      <c r="H373" s="1282"/>
      <c r="I373" s="1282"/>
      <c r="J373" s="1282" t="s">
        <v>903</v>
      </c>
      <c r="K373" s="1282"/>
      <c r="L373" s="1282"/>
      <c r="O373" s="1293"/>
      <c r="P373" s="1293"/>
      <c r="Q373" s="1293"/>
      <c r="R373" s="1293"/>
      <c r="S373" s="1293"/>
      <c r="T373" s="1293"/>
      <c r="U373" s="1293"/>
      <c r="W373" s="1293" t="str">
        <f>'🔵クレーム'!C364</f>
        <v/>
      </c>
      <c r="X373" s="1293" t="str">
        <f>'🔵クレーム'!D364</f>
        <v/>
      </c>
      <c r="Y373" s="1292" t="str">
        <f>'🔵クレーム'!I364</f>
        <v/>
      </c>
      <c r="Z373" s="1293" t="str">
        <f>'🔵クレーム'!J364</f>
        <v/>
      </c>
      <c r="AA373" s="1293" t="str">
        <f>'🔵クレーム'!K364</f>
        <v/>
      </c>
      <c r="AB373" s="1293" t="str">
        <f>'🔵クレーム'!L364</f>
        <v/>
      </c>
      <c r="AC373" s="1295" t="str">
        <f>'🔵クレーム'!N364</f>
        <v/>
      </c>
      <c r="AH373" s="274"/>
    </row>
    <row r="374">
      <c r="B374" s="1282"/>
      <c r="C374" s="1282"/>
      <c r="D374" s="1282"/>
      <c r="E374" s="351"/>
      <c r="F374" s="1282"/>
      <c r="G374" s="1282"/>
      <c r="H374" s="1282"/>
      <c r="I374" s="1282"/>
      <c r="J374" s="1282" t="s">
        <v>903</v>
      </c>
      <c r="K374" s="1282"/>
      <c r="L374" s="1282"/>
      <c r="O374" s="1293"/>
      <c r="P374" s="1293"/>
      <c r="Q374" s="1293"/>
      <c r="R374" s="1293"/>
      <c r="S374" s="1293"/>
      <c r="T374" s="1293"/>
      <c r="U374" s="1293"/>
      <c r="W374" s="1293" t="str">
        <f>'🔵クレーム'!C365</f>
        <v/>
      </c>
      <c r="X374" s="1293" t="str">
        <f>'🔵クレーム'!D365</f>
        <v/>
      </c>
      <c r="Y374" s="1292" t="str">
        <f>'🔵クレーム'!I365</f>
        <v/>
      </c>
      <c r="Z374" s="1293" t="str">
        <f>'🔵クレーム'!J365</f>
        <v/>
      </c>
      <c r="AA374" s="1293" t="str">
        <f>'🔵クレーム'!K365</f>
        <v/>
      </c>
      <c r="AB374" s="1293" t="str">
        <f>'🔵クレーム'!L365</f>
        <v/>
      </c>
      <c r="AC374" s="1295" t="str">
        <f>'🔵クレーム'!N365</f>
        <v/>
      </c>
      <c r="AH374" s="274"/>
    </row>
    <row r="375">
      <c r="B375" s="1282"/>
      <c r="C375" s="1282"/>
      <c r="D375" s="1282"/>
      <c r="E375" s="351"/>
      <c r="F375" s="1282"/>
      <c r="G375" s="1282"/>
      <c r="H375" s="1282"/>
      <c r="I375" s="1282"/>
      <c r="J375" s="1282" t="s">
        <v>903</v>
      </c>
      <c r="K375" s="1282"/>
      <c r="L375" s="1282"/>
      <c r="O375" s="1293"/>
      <c r="P375" s="1293"/>
      <c r="Q375" s="1293"/>
      <c r="R375" s="1293"/>
      <c r="S375" s="1293"/>
      <c r="T375" s="1293"/>
      <c r="U375" s="1293"/>
      <c r="W375" s="1293" t="str">
        <f>'🔵クレーム'!C366</f>
        <v/>
      </c>
      <c r="X375" s="1293" t="str">
        <f>'🔵クレーム'!D366</f>
        <v/>
      </c>
      <c r="Y375" s="1292" t="str">
        <f>'🔵クレーム'!I366</f>
        <v/>
      </c>
      <c r="Z375" s="1293" t="str">
        <f>'🔵クレーム'!J366</f>
        <v/>
      </c>
      <c r="AA375" s="1293" t="str">
        <f>'🔵クレーム'!K366</f>
        <v/>
      </c>
      <c r="AB375" s="1293" t="str">
        <f>'🔵クレーム'!L366</f>
        <v/>
      </c>
      <c r="AC375" s="1295" t="str">
        <f>'🔵クレーム'!N366</f>
        <v/>
      </c>
      <c r="AH375" s="274"/>
    </row>
    <row r="376">
      <c r="B376" s="1282"/>
      <c r="C376" s="1282"/>
      <c r="D376" s="1282"/>
      <c r="E376" s="351"/>
      <c r="F376" s="1282"/>
      <c r="G376" s="1282"/>
      <c r="H376" s="1282"/>
      <c r="I376" s="1282"/>
      <c r="J376" s="1282" t="s">
        <v>903</v>
      </c>
      <c r="K376" s="1282"/>
      <c r="L376" s="1282"/>
      <c r="O376" s="1293"/>
      <c r="P376" s="1293"/>
      <c r="Q376" s="1293"/>
      <c r="R376" s="1293"/>
      <c r="S376" s="1293"/>
      <c r="T376" s="1293"/>
      <c r="U376" s="1293"/>
      <c r="W376" s="1293" t="str">
        <f>'🔵クレーム'!C367</f>
        <v/>
      </c>
      <c r="X376" s="1293" t="str">
        <f>'🔵クレーム'!D367</f>
        <v/>
      </c>
      <c r="Y376" s="1292" t="str">
        <f>'🔵クレーム'!I367</f>
        <v/>
      </c>
      <c r="Z376" s="1293" t="str">
        <f>'🔵クレーム'!J367</f>
        <v/>
      </c>
      <c r="AA376" s="1293" t="str">
        <f>'🔵クレーム'!K367</f>
        <v/>
      </c>
      <c r="AB376" s="1293" t="str">
        <f>'🔵クレーム'!L367</f>
        <v/>
      </c>
      <c r="AC376" s="1295" t="str">
        <f>'🔵クレーム'!N367</f>
        <v/>
      </c>
      <c r="AH376" s="274"/>
    </row>
    <row r="377">
      <c r="B377" s="1282"/>
      <c r="C377" s="1282"/>
      <c r="D377" s="1282"/>
      <c r="E377" s="351"/>
      <c r="F377" s="1282"/>
      <c r="G377" s="1282"/>
      <c r="H377" s="1282"/>
      <c r="I377" s="1282"/>
      <c r="J377" s="1282" t="s">
        <v>903</v>
      </c>
      <c r="K377" s="1282"/>
      <c r="L377" s="1282"/>
      <c r="O377" s="1293"/>
      <c r="P377" s="1293"/>
      <c r="Q377" s="1293"/>
      <c r="R377" s="1293"/>
      <c r="S377" s="1293"/>
      <c r="T377" s="1293"/>
      <c r="U377" s="1293"/>
      <c r="W377" s="1293" t="str">
        <f>'🔵クレーム'!C368</f>
        <v/>
      </c>
      <c r="X377" s="1293" t="str">
        <f>'🔵クレーム'!D368</f>
        <v/>
      </c>
      <c r="Y377" s="1292" t="str">
        <f>'🔵クレーム'!I368</f>
        <v/>
      </c>
      <c r="Z377" s="1293" t="str">
        <f>'🔵クレーム'!J368</f>
        <v/>
      </c>
      <c r="AA377" s="1293" t="str">
        <f>'🔵クレーム'!K368</f>
        <v/>
      </c>
      <c r="AB377" s="1293" t="str">
        <f>'🔵クレーム'!L368</f>
        <v/>
      </c>
      <c r="AC377" s="1295" t="str">
        <f>'🔵クレーム'!N368</f>
        <v/>
      </c>
      <c r="AH377" s="274"/>
    </row>
    <row r="378">
      <c r="B378" s="1282"/>
      <c r="C378" s="1282"/>
      <c r="D378" s="1282"/>
      <c r="E378" s="351"/>
      <c r="F378" s="1282"/>
      <c r="G378" s="1282"/>
      <c r="H378" s="1282"/>
      <c r="I378" s="1282"/>
      <c r="J378" s="1282" t="s">
        <v>903</v>
      </c>
      <c r="K378" s="1282"/>
      <c r="L378" s="1282"/>
      <c r="O378" s="1293"/>
      <c r="P378" s="1293"/>
      <c r="Q378" s="1293"/>
      <c r="R378" s="1293"/>
      <c r="S378" s="1293"/>
      <c r="T378" s="1293"/>
      <c r="U378" s="1293"/>
      <c r="W378" s="1293" t="str">
        <f>'🔵クレーム'!C369</f>
        <v/>
      </c>
      <c r="X378" s="1293" t="str">
        <f>'🔵クレーム'!D369</f>
        <v/>
      </c>
      <c r="Y378" s="1292" t="str">
        <f>'🔵クレーム'!I369</f>
        <v/>
      </c>
      <c r="Z378" s="1293" t="str">
        <f>'🔵クレーム'!J369</f>
        <v/>
      </c>
      <c r="AA378" s="1293" t="str">
        <f>'🔵クレーム'!K369</f>
        <v/>
      </c>
      <c r="AB378" s="1293" t="str">
        <f>'🔵クレーム'!L369</f>
        <v/>
      </c>
      <c r="AC378" s="1295" t="str">
        <f>'🔵クレーム'!N369</f>
        <v/>
      </c>
      <c r="AH378" s="274"/>
    </row>
    <row r="379">
      <c r="B379" s="1282"/>
      <c r="C379" s="1282"/>
      <c r="D379" s="1282"/>
      <c r="E379" s="351"/>
      <c r="F379" s="1282"/>
      <c r="G379" s="1282"/>
      <c r="H379" s="1282"/>
      <c r="I379" s="1282"/>
      <c r="J379" s="1282" t="s">
        <v>903</v>
      </c>
      <c r="K379" s="1282"/>
      <c r="L379" s="1282"/>
      <c r="O379" s="1293"/>
      <c r="P379" s="1293"/>
      <c r="Q379" s="1293"/>
      <c r="R379" s="1293"/>
      <c r="S379" s="1293"/>
      <c r="T379" s="1293"/>
      <c r="U379" s="1293"/>
      <c r="W379" s="1293" t="str">
        <f>'🔵クレーム'!C370</f>
        <v/>
      </c>
      <c r="X379" s="1293" t="str">
        <f>'🔵クレーム'!D370</f>
        <v/>
      </c>
      <c r="Y379" s="1292" t="str">
        <f>'🔵クレーム'!I370</f>
        <v/>
      </c>
      <c r="Z379" s="1293" t="str">
        <f>'🔵クレーム'!J370</f>
        <v/>
      </c>
      <c r="AA379" s="1293" t="str">
        <f>'🔵クレーム'!K370</f>
        <v/>
      </c>
      <c r="AB379" s="1293" t="str">
        <f>'🔵クレーム'!L370</f>
        <v/>
      </c>
      <c r="AC379" s="1295" t="str">
        <f>'🔵クレーム'!N370</f>
        <v/>
      </c>
      <c r="AH379" s="274"/>
    </row>
    <row r="380">
      <c r="B380" s="1282"/>
      <c r="C380" s="1282"/>
      <c r="D380" s="1282"/>
      <c r="E380" s="351"/>
      <c r="F380" s="1282"/>
      <c r="G380" s="1282"/>
      <c r="H380" s="1282"/>
      <c r="I380" s="1282"/>
      <c r="J380" s="1282" t="s">
        <v>903</v>
      </c>
      <c r="K380" s="1282"/>
      <c r="L380" s="1282"/>
      <c r="O380" s="1293"/>
      <c r="P380" s="1293"/>
      <c r="Q380" s="1293"/>
      <c r="R380" s="1293"/>
      <c r="S380" s="1293"/>
      <c r="T380" s="1293"/>
      <c r="U380" s="1293"/>
      <c r="W380" s="1293" t="str">
        <f>'🔵クレーム'!C371</f>
        <v/>
      </c>
      <c r="X380" s="1293" t="str">
        <f>'🔵クレーム'!D371</f>
        <v/>
      </c>
      <c r="Y380" s="1292" t="str">
        <f>'🔵クレーム'!I371</f>
        <v/>
      </c>
      <c r="Z380" s="1293" t="str">
        <f>'🔵クレーム'!J371</f>
        <v/>
      </c>
      <c r="AA380" s="1293" t="str">
        <f>'🔵クレーム'!K371</f>
        <v/>
      </c>
      <c r="AB380" s="1293" t="str">
        <f>'🔵クレーム'!L371</f>
        <v/>
      </c>
      <c r="AC380" s="1295" t="str">
        <f>'🔵クレーム'!N371</f>
        <v/>
      </c>
      <c r="AH380" s="274"/>
    </row>
    <row r="381">
      <c r="B381" s="1282"/>
      <c r="C381" s="1282"/>
      <c r="D381" s="1282"/>
      <c r="E381" s="351"/>
      <c r="F381" s="1282"/>
      <c r="G381" s="1282"/>
      <c r="H381" s="1282"/>
      <c r="I381" s="1282"/>
      <c r="J381" s="1282" t="s">
        <v>903</v>
      </c>
      <c r="K381" s="1282"/>
      <c r="L381" s="1282"/>
      <c r="O381" s="1293"/>
      <c r="P381" s="1293"/>
      <c r="Q381" s="1293"/>
      <c r="R381" s="1293"/>
      <c r="S381" s="1293"/>
      <c r="T381" s="1293"/>
      <c r="U381" s="1293"/>
      <c r="W381" s="1293" t="str">
        <f>'🔵クレーム'!C372</f>
        <v/>
      </c>
      <c r="X381" s="1293" t="str">
        <f>'🔵クレーム'!D372</f>
        <v/>
      </c>
      <c r="Y381" s="1292" t="str">
        <f>'🔵クレーム'!I372</f>
        <v/>
      </c>
      <c r="Z381" s="1293" t="str">
        <f>'🔵クレーム'!J372</f>
        <v/>
      </c>
      <c r="AA381" s="1293" t="str">
        <f>'🔵クレーム'!K372</f>
        <v/>
      </c>
      <c r="AB381" s="1293" t="str">
        <f>'🔵クレーム'!L372</f>
        <v/>
      </c>
      <c r="AC381" s="1295" t="str">
        <f>'🔵クレーム'!N372</f>
        <v/>
      </c>
      <c r="AH381" s="274"/>
    </row>
    <row r="382">
      <c r="B382" s="1282"/>
      <c r="C382" s="1282"/>
      <c r="D382" s="1282"/>
      <c r="E382" s="351"/>
      <c r="F382" s="1282"/>
      <c r="G382" s="1282"/>
      <c r="H382" s="1282"/>
      <c r="I382" s="1282"/>
      <c r="J382" s="1282" t="s">
        <v>903</v>
      </c>
      <c r="K382" s="1282"/>
      <c r="L382" s="1282"/>
      <c r="O382" s="1293"/>
      <c r="P382" s="1293"/>
      <c r="Q382" s="1293"/>
      <c r="R382" s="1293"/>
      <c r="S382" s="1293"/>
      <c r="T382" s="1293"/>
      <c r="U382" s="1293"/>
      <c r="W382" s="1293" t="str">
        <f>'🔵クレーム'!C373</f>
        <v/>
      </c>
      <c r="X382" s="1293" t="str">
        <f>'🔵クレーム'!D373</f>
        <v/>
      </c>
      <c r="Y382" s="1292" t="str">
        <f>'🔵クレーム'!I373</f>
        <v/>
      </c>
      <c r="Z382" s="1293" t="str">
        <f>'🔵クレーム'!J373</f>
        <v/>
      </c>
      <c r="AA382" s="1293" t="str">
        <f>'🔵クレーム'!K373</f>
        <v/>
      </c>
      <c r="AB382" s="1293" t="str">
        <f>'🔵クレーム'!L373</f>
        <v/>
      </c>
      <c r="AC382" s="1295" t="str">
        <f>'🔵クレーム'!N373</f>
        <v/>
      </c>
      <c r="AH382" s="274"/>
    </row>
    <row r="383">
      <c r="B383" s="1282"/>
      <c r="C383" s="1282"/>
      <c r="D383" s="1282"/>
      <c r="E383" s="351"/>
      <c r="F383" s="1282"/>
      <c r="G383" s="1282"/>
      <c r="H383" s="1282"/>
      <c r="I383" s="1282"/>
      <c r="J383" s="1282" t="s">
        <v>903</v>
      </c>
      <c r="K383" s="1282"/>
      <c r="L383" s="1282"/>
      <c r="O383" s="1293"/>
      <c r="P383" s="1293"/>
      <c r="Q383" s="1293"/>
      <c r="R383" s="1293"/>
      <c r="S383" s="1293"/>
      <c r="T383" s="1293"/>
      <c r="U383" s="1293"/>
      <c r="W383" s="1293" t="str">
        <f>'🔵クレーム'!C374</f>
        <v/>
      </c>
      <c r="X383" s="1293" t="str">
        <f>'🔵クレーム'!D374</f>
        <v/>
      </c>
      <c r="Y383" s="1292" t="str">
        <f>'🔵クレーム'!I374</f>
        <v/>
      </c>
      <c r="Z383" s="1293" t="str">
        <f>'🔵クレーム'!J374</f>
        <v/>
      </c>
      <c r="AA383" s="1293" t="str">
        <f>'🔵クレーム'!K374</f>
        <v/>
      </c>
      <c r="AB383" s="1293" t="str">
        <f>'🔵クレーム'!L374</f>
        <v/>
      </c>
      <c r="AC383" s="1295" t="str">
        <f>'🔵クレーム'!N374</f>
        <v/>
      </c>
      <c r="AH383" s="274"/>
    </row>
    <row r="384">
      <c r="B384" s="1282"/>
      <c r="C384" s="1282"/>
      <c r="D384" s="1282"/>
      <c r="E384" s="351"/>
      <c r="F384" s="1282"/>
      <c r="G384" s="1282"/>
      <c r="H384" s="1282"/>
      <c r="I384" s="1282"/>
      <c r="J384" s="1282" t="s">
        <v>903</v>
      </c>
      <c r="K384" s="1282"/>
      <c r="L384" s="1282"/>
      <c r="O384" s="1293"/>
      <c r="P384" s="1293"/>
      <c r="Q384" s="1293"/>
      <c r="R384" s="1293"/>
      <c r="S384" s="1293"/>
      <c r="T384" s="1293"/>
      <c r="U384" s="1293"/>
      <c r="W384" s="1293" t="str">
        <f>'🔵クレーム'!C375</f>
        <v/>
      </c>
      <c r="X384" s="1293" t="str">
        <f>'🔵クレーム'!D375</f>
        <v/>
      </c>
      <c r="Y384" s="1292" t="str">
        <f>'🔵クレーム'!I375</f>
        <v/>
      </c>
      <c r="Z384" s="1293" t="str">
        <f>'🔵クレーム'!J375</f>
        <v/>
      </c>
      <c r="AA384" s="1293" t="str">
        <f>'🔵クレーム'!K375</f>
        <v/>
      </c>
      <c r="AB384" s="1293" t="str">
        <f>'🔵クレーム'!L375</f>
        <v/>
      </c>
      <c r="AC384" s="1295" t="str">
        <f>'🔵クレーム'!N375</f>
        <v/>
      </c>
      <c r="AH384" s="274"/>
    </row>
    <row r="385">
      <c r="B385" s="1282"/>
      <c r="C385" s="1282"/>
      <c r="D385" s="1282"/>
      <c r="E385" s="351"/>
      <c r="F385" s="1282"/>
      <c r="G385" s="1282"/>
      <c r="H385" s="1282"/>
      <c r="I385" s="1282"/>
      <c r="J385" s="1282" t="s">
        <v>903</v>
      </c>
      <c r="K385" s="1282"/>
      <c r="L385" s="1282"/>
      <c r="O385" s="1293"/>
      <c r="P385" s="1293"/>
      <c r="Q385" s="1293"/>
      <c r="R385" s="1293"/>
      <c r="S385" s="1293"/>
      <c r="T385" s="1293"/>
      <c r="U385" s="1293"/>
      <c r="W385" s="1293" t="str">
        <f>'🔵クレーム'!C376</f>
        <v/>
      </c>
      <c r="X385" s="1293" t="str">
        <f>'🔵クレーム'!D376</f>
        <v/>
      </c>
      <c r="Y385" s="1292" t="str">
        <f>'🔵クレーム'!I376</f>
        <v/>
      </c>
      <c r="Z385" s="1293" t="str">
        <f>'🔵クレーム'!J376</f>
        <v/>
      </c>
      <c r="AA385" s="1293" t="str">
        <f>'🔵クレーム'!K376</f>
        <v/>
      </c>
      <c r="AB385" s="1293" t="str">
        <f>'🔵クレーム'!L376</f>
        <v/>
      </c>
      <c r="AC385" s="1295" t="str">
        <f>'🔵クレーム'!N376</f>
        <v/>
      </c>
      <c r="AH385" s="274"/>
    </row>
    <row r="386">
      <c r="B386" s="1282"/>
      <c r="C386" s="1282"/>
      <c r="D386" s="1282"/>
      <c r="E386" s="351"/>
      <c r="F386" s="1282"/>
      <c r="G386" s="1282"/>
      <c r="H386" s="1282"/>
      <c r="I386" s="1282"/>
      <c r="J386" s="1282" t="s">
        <v>903</v>
      </c>
      <c r="K386" s="1282"/>
      <c r="L386" s="1282"/>
      <c r="O386" s="1293"/>
      <c r="P386" s="1293"/>
      <c r="Q386" s="1293"/>
      <c r="R386" s="1293"/>
      <c r="S386" s="1293"/>
      <c r="T386" s="1293"/>
      <c r="U386" s="1293"/>
      <c r="W386" s="1293" t="str">
        <f>'🔵クレーム'!C377</f>
        <v/>
      </c>
      <c r="X386" s="1293" t="str">
        <f>'🔵クレーム'!D377</f>
        <v/>
      </c>
      <c r="Y386" s="1292" t="str">
        <f>'🔵クレーム'!I377</f>
        <v/>
      </c>
      <c r="Z386" s="1293" t="str">
        <f>'🔵クレーム'!J377</f>
        <v/>
      </c>
      <c r="AA386" s="1293" t="str">
        <f>'🔵クレーム'!K377</f>
        <v/>
      </c>
      <c r="AB386" s="1293" t="str">
        <f>'🔵クレーム'!L377</f>
        <v/>
      </c>
      <c r="AC386" s="1295" t="str">
        <f>'🔵クレーム'!N377</f>
        <v/>
      </c>
      <c r="AH386" s="274"/>
    </row>
    <row r="387">
      <c r="B387" s="1282"/>
      <c r="C387" s="1282"/>
      <c r="D387" s="1282"/>
      <c r="E387" s="351"/>
      <c r="F387" s="1282"/>
      <c r="G387" s="1282"/>
      <c r="H387" s="1282"/>
      <c r="I387" s="1282"/>
      <c r="J387" s="1282" t="s">
        <v>903</v>
      </c>
      <c r="K387" s="1282"/>
      <c r="L387" s="1282"/>
      <c r="O387" s="1293"/>
      <c r="P387" s="1293"/>
      <c r="Q387" s="1293"/>
      <c r="R387" s="1293"/>
      <c r="S387" s="1293"/>
      <c r="T387" s="1293"/>
      <c r="U387" s="1293"/>
      <c r="W387" s="1293" t="str">
        <f>'🔵クレーム'!C378</f>
        <v/>
      </c>
      <c r="X387" s="1293" t="str">
        <f>'🔵クレーム'!D378</f>
        <v/>
      </c>
      <c r="Y387" s="1292" t="str">
        <f>'🔵クレーム'!I378</f>
        <v/>
      </c>
      <c r="Z387" s="1293" t="str">
        <f>'🔵クレーム'!J378</f>
        <v/>
      </c>
      <c r="AA387" s="1293" t="str">
        <f>'🔵クレーム'!K378</f>
        <v/>
      </c>
      <c r="AB387" s="1293" t="str">
        <f>'🔵クレーム'!L378</f>
        <v/>
      </c>
      <c r="AC387" s="1295" t="str">
        <f>'🔵クレーム'!N378</f>
        <v/>
      </c>
      <c r="AH387" s="274"/>
    </row>
    <row r="388">
      <c r="B388" s="1282"/>
      <c r="C388" s="1282"/>
      <c r="D388" s="1282"/>
      <c r="E388" s="351"/>
      <c r="F388" s="1282"/>
      <c r="G388" s="1282"/>
      <c r="H388" s="1282"/>
      <c r="I388" s="1282"/>
      <c r="J388" s="1282" t="s">
        <v>903</v>
      </c>
      <c r="K388" s="1282"/>
      <c r="L388" s="1282"/>
      <c r="O388" s="1293"/>
      <c r="P388" s="1293"/>
      <c r="Q388" s="1293"/>
      <c r="R388" s="1293"/>
      <c r="S388" s="1293"/>
      <c r="T388" s="1293"/>
      <c r="U388" s="1293"/>
      <c r="W388" s="1293" t="str">
        <f>'🔵クレーム'!C379</f>
        <v/>
      </c>
      <c r="X388" s="1293" t="str">
        <f>'🔵クレーム'!D379</f>
        <v/>
      </c>
      <c r="Y388" s="1292" t="str">
        <f>'🔵クレーム'!I379</f>
        <v/>
      </c>
      <c r="Z388" s="1293" t="str">
        <f>'🔵クレーム'!J379</f>
        <v/>
      </c>
      <c r="AA388" s="1293" t="str">
        <f>'🔵クレーム'!K379</f>
        <v/>
      </c>
      <c r="AB388" s="1293" t="str">
        <f>'🔵クレーム'!L379</f>
        <v/>
      </c>
      <c r="AC388" s="1295" t="str">
        <f>'🔵クレーム'!N379</f>
        <v/>
      </c>
      <c r="AH388" s="274"/>
    </row>
    <row r="389">
      <c r="B389" s="1282"/>
      <c r="C389" s="1282"/>
      <c r="D389" s="1282"/>
      <c r="E389" s="351"/>
      <c r="F389" s="1282"/>
      <c r="G389" s="1282"/>
      <c r="H389" s="1282"/>
      <c r="I389" s="1282"/>
      <c r="J389" s="1282" t="s">
        <v>903</v>
      </c>
      <c r="K389" s="1282"/>
      <c r="L389" s="1282"/>
      <c r="O389" s="1293"/>
      <c r="P389" s="1293"/>
      <c r="Q389" s="1293"/>
      <c r="R389" s="1293"/>
      <c r="S389" s="1293"/>
      <c r="T389" s="1293"/>
      <c r="U389" s="1293"/>
      <c r="W389" s="1293" t="str">
        <f>'🔵クレーム'!C380</f>
        <v/>
      </c>
      <c r="X389" s="1293" t="str">
        <f>'🔵クレーム'!D380</f>
        <v/>
      </c>
      <c r="Y389" s="1292" t="str">
        <f>'🔵クレーム'!I380</f>
        <v/>
      </c>
      <c r="Z389" s="1293" t="str">
        <f>'🔵クレーム'!J380</f>
        <v/>
      </c>
      <c r="AA389" s="1293" t="str">
        <f>'🔵クレーム'!K380</f>
        <v/>
      </c>
      <c r="AB389" s="1293" t="str">
        <f>'🔵クレーム'!L380</f>
        <v/>
      </c>
      <c r="AC389" s="1295" t="str">
        <f>'🔵クレーム'!N380</f>
        <v/>
      </c>
      <c r="AH389" s="274"/>
    </row>
    <row r="390">
      <c r="B390" s="1282"/>
      <c r="C390" s="1282"/>
      <c r="D390" s="1282"/>
      <c r="E390" s="351"/>
      <c r="F390" s="1282"/>
      <c r="G390" s="1282"/>
      <c r="H390" s="1282"/>
      <c r="I390" s="1282"/>
      <c r="J390" s="1282" t="s">
        <v>903</v>
      </c>
      <c r="K390" s="1282"/>
      <c r="L390" s="1282"/>
      <c r="O390" s="1293"/>
      <c r="P390" s="1293"/>
      <c r="Q390" s="1293"/>
      <c r="R390" s="1293"/>
      <c r="S390" s="1293"/>
      <c r="T390" s="1293"/>
      <c r="U390" s="1293"/>
      <c r="W390" s="1293" t="str">
        <f>'🔵クレーム'!C381</f>
        <v/>
      </c>
      <c r="X390" s="1293" t="str">
        <f>'🔵クレーム'!D381</f>
        <v/>
      </c>
      <c r="Y390" s="1292" t="str">
        <f>'🔵クレーム'!I381</f>
        <v/>
      </c>
      <c r="Z390" s="1293" t="str">
        <f>'🔵クレーム'!J381</f>
        <v/>
      </c>
      <c r="AA390" s="1293" t="str">
        <f>'🔵クレーム'!K381</f>
        <v/>
      </c>
      <c r="AB390" s="1293" t="str">
        <f>'🔵クレーム'!L381</f>
        <v/>
      </c>
      <c r="AC390" s="1295" t="str">
        <f>'🔵クレーム'!N381</f>
        <v/>
      </c>
      <c r="AH390" s="274"/>
    </row>
    <row r="391">
      <c r="B391" s="1282"/>
      <c r="C391" s="1282"/>
      <c r="D391" s="1282"/>
      <c r="E391" s="351"/>
      <c r="F391" s="1282"/>
      <c r="G391" s="1282"/>
      <c r="H391" s="1282"/>
      <c r="I391" s="1282"/>
      <c r="J391" s="1282" t="s">
        <v>903</v>
      </c>
      <c r="K391" s="1282"/>
      <c r="L391" s="1282"/>
      <c r="O391" s="1293"/>
      <c r="P391" s="1293"/>
      <c r="Q391" s="1293"/>
      <c r="R391" s="1293"/>
      <c r="S391" s="1293"/>
      <c r="T391" s="1293"/>
      <c r="U391" s="1293"/>
      <c r="W391" s="1293" t="str">
        <f>'🔵クレーム'!C382</f>
        <v/>
      </c>
      <c r="X391" s="1293" t="str">
        <f>'🔵クレーム'!D382</f>
        <v/>
      </c>
      <c r="Y391" s="1292" t="str">
        <f>'🔵クレーム'!I382</f>
        <v/>
      </c>
      <c r="Z391" s="1293" t="str">
        <f>'🔵クレーム'!J382</f>
        <v/>
      </c>
      <c r="AA391" s="1293" t="str">
        <f>'🔵クレーム'!K382</f>
        <v/>
      </c>
      <c r="AB391" s="1293" t="str">
        <f>'🔵クレーム'!L382</f>
        <v/>
      </c>
      <c r="AC391" s="1295" t="str">
        <f>'🔵クレーム'!N382</f>
        <v/>
      </c>
      <c r="AH391" s="274"/>
    </row>
    <row r="392">
      <c r="B392" s="1282"/>
      <c r="C392" s="1282"/>
      <c r="D392" s="1282"/>
      <c r="E392" s="351"/>
      <c r="F392" s="1282"/>
      <c r="G392" s="1282"/>
      <c r="H392" s="1282"/>
      <c r="I392" s="1282"/>
      <c r="J392" s="1282" t="s">
        <v>903</v>
      </c>
      <c r="K392" s="1282"/>
      <c r="L392" s="1282"/>
      <c r="O392" s="1293"/>
      <c r="P392" s="1293"/>
      <c r="Q392" s="1293"/>
      <c r="R392" s="1293"/>
      <c r="S392" s="1293"/>
      <c r="T392" s="1293"/>
      <c r="U392" s="1293"/>
      <c r="W392" s="1293" t="str">
        <f>'🔵クレーム'!C383</f>
        <v/>
      </c>
      <c r="X392" s="1293" t="str">
        <f>'🔵クレーム'!D383</f>
        <v/>
      </c>
      <c r="Y392" s="1292" t="str">
        <f>'🔵クレーム'!I383</f>
        <v/>
      </c>
      <c r="Z392" s="1293" t="str">
        <f>'🔵クレーム'!J383</f>
        <v/>
      </c>
      <c r="AA392" s="1293" t="str">
        <f>'🔵クレーム'!K383</f>
        <v/>
      </c>
      <c r="AB392" s="1293" t="str">
        <f>'🔵クレーム'!L383</f>
        <v/>
      </c>
      <c r="AC392" s="1295" t="str">
        <f>'🔵クレーム'!N383</f>
        <v/>
      </c>
      <c r="AH392" s="274"/>
    </row>
    <row r="393">
      <c r="B393" s="1282"/>
      <c r="C393" s="1282"/>
      <c r="D393" s="1282"/>
      <c r="E393" s="351"/>
      <c r="F393" s="1282"/>
      <c r="G393" s="1282"/>
      <c r="H393" s="1282"/>
      <c r="I393" s="1282"/>
      <c r="J393" s="1282" t="s">
        <v>903</v>
      </c>
      <c r="K393" s="1282"/>
      <c r="L393" s="1282"/>
      <c r="O393" s="1293"/>
      <c r="P393" s="1293"/>
      <c r="Q393" s="1293"/>
      <c r="R393" s="1293"/>
      <c r="S393" s="1293"/>
      <c r="T393" s="1293"/>
      <c r="U393" s="1293"/>
      <c r="W393" s="1293" t="str">
        <f>'🔵クレーム'!C384</f>
        <v/>
      </c>
      <c r="X393" s="1293" t="str">
        <f>'🔵クレーム'!D384</f>
        <v/>
      </c>
      <c r="Y393" s="1292" t="str">
        <f>'🔵クレーム'!I384</f>
        <v/>
      </c>
      <c r="Z393" s="1293" t="str">
        <f>'🔵クレーム'!J384</f>
        <v/>
      </c>
      <c r="AA393" s="1293" t="str">
        <f>'🔵クレーム'!K384</f>
        <v/>
      </c>
      <c r="AB393" s="1293" t="str">
        <f>'🔵クレーム'!L384</f>
        <v/>
      </c>
      <c r="AC393" s="1295" t="str">
        <f>'🔵クレーム'!N384</f>
        <v/>
      </c>
      <c r="AH393" s="274"/>
    </row>
    <row r="394">
      <c r="B394" s="1282"/>
      <c r="C394" s="1282"/>
      <c r="D394" s="1282"/>
      <c r="E394" s="351"/>
      <c r="F394" s="1282"/>
      <c r="G394" s="1282"/>
      <c r="H394" s="1282"/>
      <c r="I394" s="1282"/>
      <c r="J394" s="1282" t="s">
        <v>903</v>
      </c>
      <c r="K394" s="1282"/>
      <c r="L394" s="1282"/>
      <c r="O394" s="1293"/>
      <c r="P394" s="1293"/>
      <c r="Q394" s="1293"/>
      <c r="R394" s="1293"/>
      <c r="S394" s="1293"/>
      <c r="T394" s="1293"/>
      <c r="U394" s="1293"/>
      <c r="W394" s="1293" t="str">
        <f>'🔵クレーム'!C385</f>
        <v/>
      </c>
      <c r="X394" s="1293" t="str">
        <f>'🔵クレーム'!D385</f>
        <v/>
      </c>
      <c r="Y394" s="1292" t="str">
        <f>'🔵クレーム'!I385</f>
        <v/>
      </c>
      <c r="Z394" s="1293" t="str">
        <f>'🔵クレーム'!J385</f>
        <v/>
      </c>
      <c r="AA394" s="1293" t="str">
        <f>'🔵クレーム'!K385</f>
        <v/>
      </c>
      <c r="AB394" s="1293" t="str">
        <f>'🔵クレーム'!L385</f>
        <v/>
      </c>
      <c r="AC394" s="1295" t="str">
        <f>'🔵クレーム'!N385</f>
        <v/>
      </c>
      <c r="AH394" s="274"/>
    </row>
    <row r="395">
      <c r="B395" s="1282"/>
      <c r="C395" s="1282"/>
      <c r="D395" s="1282"/>
      <c r="E395" s="351"/>
      <c r="F395" s="1282"/>
      <c r="G395" s="1282"/>
      <c r="H395" s="1282"/>
      <c r="I395" s="1282"/>
      <c r="J395" s="1282" t="s">
        <v>903</v>
      </c>
      <c r="K395" s="1282"/>
      <c r="L395" s="1282"/>
      <c r="O395" s="1293"/>
      <c r="P395" s="1293"/>
      <c r="Q395" s="1293"/>
      <c r="R395" s="1293"/>
      <c r="S395" s="1293"/>
      <c r="T395" s="1293"/>
      <c r="U395" s="1293"/>
      <c r="W395" s="1293" t="str">
        <f>'🔵クレーム'!C386</f>
        <v/>
      </c>
      <c r="X395" s="1293" t="str">
        <f>'🔵クレーム'!D386</f>
        <v/>
      </c>
      <c r="Y395" s="1292" t="str">
        <f>'🔵クレーム'!I386</f>
        <v/>
      </c>
      <c r="Z395" s="1293" t="str">
        <f>'🔵クレーム'!J386</f>
        <v/>
      </c>
      <c r="AA395" s="1293" t="str">
        <f>'🔵クレーム'!K386</f>
        <v/>
      </c>
      <c r="AB395" s="1293" t="str">
        <f>'🔵クレーム'!L386</f>
        <v/>
      </c>
      <c r="AC395" s="1295" t="str">
        <f>'🔵クレーム'!N386</f>
        <v/>
      </c>
      <c r="AH395" s="274"/>
    </row>
    <row r="396">
      <c r="B396" s="1282"/>
      <c r="C396" s="1282"/>
      <c r="D396" s="1282"/>
      <c r="E396" s="351"/>
      <c r="F396" s="1282"/>
      <c r="G396" s="1282"/>
      <c r="H396" s="1282"/>
      <c r="I396" s="1282"/>
      <c r="J396" s="1282" t="s">
        <v>903</v>
      </c>
      <c r="K396" s="1282"/>
      <c r="L396" s="1282"/>
      <c r="O396" s="1293"/>
      <c r="P396" s="1293"/>
      <c r="Q396" s="1293"/>
      <c r="R396" s="1293"/>
      <c r="S396" s="1293"/>
      <c r="T396" s="1293"/>
      <c r="U396" s="1293"/>
      <c r="W396" s="1293" t="str">
        <f>'🔵クレーム'!C387</f>
        <v/>
      </c>
      <c r="X396" s="1293" t="str">
        <f>'🔵クレーム'!D387</f>
        <v/>
      </c>
      <c r="Y396" s="1292" t="str">
        <f>'🔵クレーム'!I387</f>
        <v/>
      </c>
      <c r="Z396" s="1293" t="str">
        <f>'🔵クレーム'!J387</f>
        <v/>
      </c>
      <c r="AA396" s="1293" t="str">
        <f>'🔵クレーム'!K387</f>
        <v/>
      </c>
      <c r="AB396" s="1293" t="str">
        <f>'🔵クレーム'!L387</f>
        <v/>
      </c>
      <c r="AC396" s="1295" t="str">
        <f>'🔵クレーム'!N387</f>
        <v/>
      </c>
      <c r="AH396" s="274"/>
    </row>
    <row r="397">
      <c r="B397" s="1282"/>
      <c r="C397" s="1282"/>
      <c r="D397" s="1282"/>
      <c r="E397" s="351"/>
      <c r="F397" s="1282"/>
      <c r="G397" s="1282"/>
      <c r="H397" s="1282"/>
      <c r="I397" s="1282"/>
      <c r="J397" s="1282" t="s">
        <v>903</v>
      </c>
      <c r="K397" s="1282"/>
      <c r="L397" s="1282"/>
      <c r="O397" s="1293"/>
      <c r="P397" s="1293"/>
      <c r="Q397" s="1293"/>
      <c r="R397" s="1293"/>
      <c r="S397" s="1293"/>
      <c r="T397" s="1293"/>
      <c r="U397" s="1293"/>
      <c r="W397" s="1293" t="str">
        <f>'🔵クレーム'!C388</f>
        <v/>
      </c>
      <c r="X397" s="1293" t="str">
        <f>'🔵クレーム'!D388</f>
        <v/>
      </c>
      <c r="Y397" s="1292" t="str">
        <f>'🔵クレーム'!I388</f>
        <v/>
      </c>
      <c r="Z397" s="1293" t="str">
        <f>'🔵クレーム'!J388</f>
        <v/>
      </c>
      <c r="AA397" s="1293" t="str">
        <f>'🔵クレーム'!K388</f>
        <v/>
      </c>
      <c r="AB397" s="1293" t="str">
        <f>'🔵クレーム'!L388</f>
        <v/>
      </c>
      <c r="AC397" s="1295" t="str">
        <f>'🔵クレーム'!N388</f>
        <v/>
      </c>
      <c r="AH397" s="274"/>
    </row>
    <row r="398">
      <c r="B398" s="1282"/>
      <c r="C398" s="1282"/>
      <c r="D398" s="1282"/>
      <c r="E398" s="351"/>
      <c r="F398" s="1282"/>
      <c r="G398" s="1282"/>
      <c r="H398" s="1282"/>
      <c r="I398" s="1282"/>
      <c r="J398" s="1282" t="s">
        <v>903</v>
      </c>
      <c r="K398" s="1282"/>
      <c r="L398" s="1282"/>
      <c r="O398" s="1293"/>
      <c r="P398" s="1293"/>
      <c r="Q398" s="1293"/>
      <c r="R398" s="1293"/>
      <c r="S398" s="1293"/>
      <c r="T398" s="1293"/>
      <c r="U398" s="1293"/>
      <c r="W398" s="1293" t="str">
        <f>'🔵クレーム'!C389</f>
        <v/>
      </c>
      <c r="X398" s="1293" t="str">
        <f>'🔵クレーム'!D389</f>
        <v/>
      </c>
      <c r="Y398" s="1292" t="str">
        <f>'🔵クレーム'!I389</f>
        <v/>
      </c>
      <c r="Z398" s="1293" t="str">
        <f>'🔵クレーム'!J389</f>
        <v/>
      </c>
      <c r="AA398" s="1293" t="str">
        <f>'🔵クレーム'!K389</f>
        <v/>
      </c>
      <c r="AB398" s="1293" t="str">
        <f>'🔵クレーム'!L389</f>
        <v/>
      </c>
      <c r="AC398" s="1295" t="str">
        <f>'🔵クレーム'!N389</f>
        <v/>
      </c>
      <c r="AH398" s="274"/>
    </row>
    <row r="399">
      <c r="B399" s="1282"/>
      <c r="C399" s="1282"/>
      <c r="D399" s="1282"/>
      <c r="E399" s="351"/>
      <c r="F399" s="1282"/>
      <c r="G399" s="1282"/>
      <c r="H399" s="1282"/>
      <c r="I399" s="1282"/>
      <c r="J399" s="1282" t="s">
        <v>903</v>
      </c>
      <c r="K399" s="1282"/>
      <c r="L399" s="1282"/>
      <c r="O399" s="1293"/>
      <c r="P399" s="1293"/>
      <c r="Q399" s="1293"/>
      <c r="R399" s="1293"/>
      <c r="S399" s="1293"/>
      <c r="T399" s="1293"/>
      <c r="U399" s="1293"/>
      <c r="W399" s="1293" t="str">
        <f>'🔵クレーム'!C390</f>
        <v/>
      </c>
      <c r="X399" s="1293" t="str">
        <f>'🔵クレーム'!D390</f>
        <v/>
      </c>
      <c r="Y399" s="1292" t="str">
        <f>'🔵クレーム'!I390</f>
        <v/>
      </c>
      <c r="Z399" s="1293" t="str">
        <f>'🔵クレーム'!J390</f>
        <v/>
      </c>
      <c r="AA399" s="1293" t="str">
        <f>'🔵クレーム'!K390</f>
        <v/>
      </c>
      <c r="AB399" s="1293" t="str">
        <f>'🔵クレーム'!L390</f>
        <v/>
      </c>
      <c r="AC399" s="1295" t="str">
        <f>'🔵クレーム'!N390</f>
        <v/>
      </c>
      <c r="AH399" s="274"/>
    </row>
    <row r="400">
      <c r="B400" s="1282"/>
      <c r="C400" s="1282"/>
      <c r="D400" s="1282"/>
      <c r="E400" s="351"/>
      <c r="F400" s="1282"/>
      <c r="G400" s="1282"/>
      <c r="H400" s="1282"/>
      <c r="I400" s="1282"/>
      <c r="J400" s="1282" t="s">
        <v>903</v>
      </c>
      <c r="K400" s="1282"/>
      <c r="L400" s="1282"/>
      <c r="O400" s="1293"/>
      <c r="P400" s="1293"/>
      <c r="Q400" s="1293"/>
      <c r="R400" s="1293"/>
      <c r="S400" s="1293"/>
      <c r="T400" s="1293"/>
      <c r="U400" s="1293"/>
      <c r="W400" s="1293" t="str">
        <f>'🔵クレーム'!C391</f>
        <v/>
      </c>
      <c r="X400" s="1293" t="str">
        <f>'🔵クレーム'!D391</f>
        <v/>
      </c>
      <c r="Y400" s="1292" t="str">
        <f>'🔵クレーム'!I391</f>
        <v/>
      </c>
      <c r="Z400" s="1293" t="str">
        <f>'🔵クレーム'!J391</f>
        <v/>
      </c>
      <c r="AA400" s="1293" t="str">
        <f>'🔵クレーム'!K391</f>
        <v/>
      </c>
      <c r="AB400" s="1293" t="str">
        <f>'🔵クレーム'!L391</f>
        <v/>
      </c>
      <c r="AC400" s="1295" t="str">
        <f>'🔵クレーム'!N391</f>
        <v/>
      </c>
      <c r="AH400" s="274"/>
    </row>
    <row r="401">
      <c r="B401" s="1282"/>
      <c r="C401" s="1282"/>
      <c r="D401" s="1282"/>
      <c r="E401" s="351"/>
      <c r="F401" s="1282"/>
      <c r="G401" s="1282"/>
      <c r="H401" s="1282"/>
      <c r="I401" s="1282"/>
      <c r="J401" s="1282" t="s">
        <v>903</v>
      </c>
      <c r="K401" s="1282"/>
      <c r="L401" s="1282"/>
      <c r="O401" s="1293"/>
      <c r="P401" s="1293"/>
      <c r="Q401" s="1293"/>
      <c r="R401" s="1293"/>
      <c r="S401" s="1293"/>
      <c r="T401" s="1293"/>
      <c r="U401" s="1293"/>
      <c r="W401" s="1293" t="str">
        <f>'🔵クレーム'!C392</f>
        <v/>
      </c>
      <c r="X401" s="1293" t="str">
        <f>'🔵クレーム'!D392</f>
        <v/>
      </c>
      <c r="Y401" s="1292" t="str">
        <f>'🔵クレーム'!I392</f>
        <v/>
      </c>
      <c r="Z401" s="1293" t="str">
        <f>'🔵クレーム'!J392</f>
        <v/>
      </c>
      <c r="AA401" s="1293" t="str">
        <f>'🔵クレーム'!K392</f>
        <v/>
      </c>
      <c r="AB401" s="1293" t="str">
        <f>'🔵クレーム'!L392</f>
        <v/>
      </c>
      <c r="AC401" s="1295" t="str">
        <f>'🔵クレーム'!N392</f>
        <v/>
      </c>
      <c r="AH401" s="274"/>
    </row>
    <row r="402">
      <c r="B402" s="1282"/>
      <c r="C402" s="1282"/>
      <c r="D402" s="1282"/>
      <c r="E402" s="351"/>
      <c r="F402" s="1282"/>
      <c r="G402" s="1282"/>
      <c r="H402" s="1282"/>
      <c r="I402" s="1282"/>
      <c r="J402" s="1282" t="s">
        <v>903</v>
      </c>
      <c r="K402" s="1282"/>
      <c r="L402" s="1282"/>
      <c r="O402" s="1293"/>
      <c r="P402" s="1293"/>
      <c r="Q402" s="1293"/>
      <c r="R402" s="1293"/>
      <c r="S402" s="1293"/>
      <c r="T402" s="1293"/>
      <c r="U402" s="1293"/>
      <c r="W402" s="1293" t="str">
        <f>'🔵クレーム'!C393</f>
        <v/>
      </c>
      <c r="X402" s="1293" t="str">
        <f>'🔵クレーム'!D393</f>
        <v/>
      </c>
      <c r="Y402" s="1292" t="str">
        <f>'🔵クレーム'!I393</f>
        <v/>
      </c>
      <c r="Z402" s="1293" t="str">
        <f>'🔵クレーム'!J393</f>
        <v/>
      </c>
      <c r="AA402" s="1293" t="str">
        <f>'🔵クレーム'!K393</f>
        <v/>
      </c>
      <c r="AB402" s="1293" t="str">
        <f>'🔵クレーム'!L393</f>
        <v/>
      </c>
      <c r="AC402" s="1295" t="str">
        <f>'🔵クレーム'!N393</f>
        <v/>
      </c>
      <c r="AH402" s="274"/>
    </row>
    <row r="403">
      <c r="B403" s="1282"/>
      <c r="C403" s="1282"/>
      <c r="D403" s="1282"/>
      <c r="E403" s="351"/>
      <c r="F403" s="1282"/>
      <c r="G403" s="1282"/>
      <c r="H403" s="1282"/>
      <c r="I403" s="1282"/>
      <c r="J403" s="1282" t="s">
        <v>903</v>
      </c>
      <c r="K403" s="1282"/>
      <c r="L403" s="1282"/>
      <c r="O403" s="1293"/>
      <c r="P403" s="1293"/>
      <c r="Q403" s="1293"/>
      <c r="R403" s="1293"/>
      <c r="S403" s="1293"/>
      <c r="T403" s="1293"/>
      <c r="U403" s="1293"/>
      <c r="W403" s="1293" t="str">
        <f>'🔵クレーム'!C394</f>
        <v/>
      </c>
      <c r="X403" s="1293" t="str">
        <f>'🔵クレーム'!D394</f>
        <v/>
      </c>
      <c r="Y403" s="1292" t="str">
        <f>'🔵クレーム'!I394</f>
        <v/>
      </c>
      <c r="Z403" s="1293" t="str">
        <f>'🔵クレーム'!J394</f>
        <v/>
      </c>
      <c r="AA403" s="1293" t="str">
        <f>'🔵クレーム'!K394</f>
        <v/>
      </c>
      <c r="AB403" s="1293" t="str">
        <f>'🔵クレーム'!L394</f>
        <v/>
      </c>
      <c r="AC403" s="1295" t="str">
        <f>'🔵クレーム'!N394</f>
        <v/>
      </c>
      <c r="AH403" s="274"/>
    </row>
    <row r="404">
      <c r="B404" s="1282"/>
      <c r="C404" s="1282"/>
      <c r="D404" s="1282"/>
      <c r="E404" s="351"/>
      <c r="F404" s="1282"/>
      <c r="G404" s="1282"/>
      <c r="H404" s="1282"/>
      <c r="I404" s="1282"/>
      <c r="J404" s="1282" t="s">
        <v>903</v>
      </c>
      <c r="K404" s="1282"/>
      <c r="L404" s="1282"/>
      <c r="O404" s="1293"/>
      <c r="P404" s="1293"/>
      <c r="Q404" s="1293"/>
      <c r="R404" s="1293"/>
      <c r="S404" s="1293"/>
      <c r="T404" s="1293"/>
      <c r="U404" s="1293"/>
      <c r="W404" s="1293" t="str">
        <f>'🔵クレーム'!C395</f>
        <v/>
      </c>
      <c r="X404" s="1293" t="str">
        <f>'🔵クレーム'!D395</f>
        <v/>
      </c>
      <c r="Y404" s="1292" t="str">
        <f>'🔵クレーム'!I395</f>
        <v/>
      </c>
      <c r="Z404" s="1293" t="str">
        <f>'🔵クレーム'!J395</f>
        <v/>
      </c>
      <c r="AA404" s="1293" t="str">
        <f>'🔵クレーム'!K395</f>
        <v/>
      </c>
      <c r="AB404" s="1293" t="str">
        <f>'🔵クレーム'!L395</f>
        <v/>
      </c>
      <c r="AC404" s="1295" t="str">
        <f>'🔵クレーム'!N395</f>
        <v/>
      </c>
      <c r="AH404" s="274"/>
    </row>
    <row r="405">
      <c r="B405" s="1282"/>
      <c r="C405" s="1282"/>
      <c r="D405" s="1282"/>
      <c r="E405" s="351"/>
      <c r="F405" s="1282"/>
      <c r="G405" s="1282"/>
      <c r="H405" s="1282"/>
      <c r="I405" s="1282"/>
      <c r="J405" s="1282" t="s">
        <v>903</v>
      </c>
      <c r="K405" s="1282"/>
      <c r="L405" s="1282"/>
      <c r="O405" s="1293"/>
      <c r="P405" s="1293"/>
      <c r="Q405" s="1293"/>
      <c r="R405" s="1293"/>
      <c r="S405" s="1293"/>
      <c r="T405" s="1293"/>
      <c r="U405" s="1293"/>
      <c r="W405" s="1293" t="str">
        <f>'🔵クレーム'!C396</f>
        <v/>
      </c>
      <c r="X405" s="1293" t="str">
        <f>'🔵クレーム'!D396</f>
        <v/>
      </c>
      <c r="Y405" s="1292" t="str">
        <f>'🔵クレーム'!I396</f>
        <v/>
      </c>
      <c r="Z405" s="1293" t="str">
        <f>'🔵クレーム'!J396</f>
        <v/>
      </c>
      <c r="AA405" s="1293" t="str">
        <f>'🔵クレーム'!K396</f>
        <v/>
      </c>
      <c r="AB405" s="1293" t="str">
        <f>'🔵クレーム'!L396</f>
        <v/>
      </c>
      <c r="AC405" s="1295" t="str">
        <f>'🔵クレーム'!N396</f>
        <v/>
      </c>
      <c r="AH405" s="274"/>
    </row>
    <row r="406">
      <c r="B406" s="1282"/>
      <c r="C406" s="1282"/>
      <c r="D406" s="1282"/>
      <c r="E406" s="351"/>
      <c r="F406" s="1282"/>
      <c r="G406" s="1282"/>
      <c r="H406" s="1282"/>
      <c r="I406" s="1282"/>
      <c r="J406" s="1282" t="s">
        <v>903</v>
      </c>
      <c r="K406" s="1282"/>
      <c r="L406" s="1282"/>
      <c r="O406" s="1293"/>
      <c r="P406" s="1293"/>
      <c r="Q406" s="1293"/>
      <c r="R406" s="1293"/>
      <c r="S406" s="1293"/>
      <c r="T406" s="1293"/>
      <c r="U406" s="1293"/>
      <c r="W406" s="1293" t="str">
        <f>'🔵クレーム'!C397</f>
        <v/>
      </c>
      <c r="X406" s="1293" t="str">
        <f>'🔵クレーム'!D397</f>
        <v/>
      </c>
      <c r="Y406" s="1292" t="str">
        <f>'🔵クレーム'!I397</f>
        <v/>
      </c>
      <c r="Z406" s="1293" t="str">
        <f>'🔵クレーム'!J397</f>
        <v/>
      </c>
      <c r="AA406" s="1293" t="str">
        <f>'🔵クレーム'!K397</f>
        <v/>
      </c>
      <c r="AB406" s="1293" t="str">
        <f>'🔵クレーム'!L397</f>
        <v/>
      </c>
      <c r="AC406" s="1295" t="str">
        <f>'🔵クレーム'!N397</f>
        <v/>
      </c>
      <c r="AH406" s="274"/>
    </row>
    <row r="407">
      <c r="B407" s="1282"/>
      <c r="C407" s="1282"/>
      <c r="D407" s="1282"/>
      <c r="E407" s="351"/>
      <c r="F407" s="1282"/>
      <c r="G407" s="1282"/>
      <c r="H407" s="1282"/>
      <c r="I407" s="1282"/>
      <c r="J407" s="1282" t="s">
        <v>903</v>
      </c>
      <c r="K407" s="1282"/>
      <c r="L407" s="1282"/>
      <c r="O407" s="1293"/>
      <c r="P407" s="1293"/>
      <c r="Q407" s="1293"/>
      <c r="R407" s="1293"/>
      <c r="S407" s="1293"/>
      <c r="T407" s="1293"/>
      <c r="U407" s="1293"/>
      <c r="W407" s="1293" t="str">
        <f>'🔵クレーム'!C398</f>
        <v/>
      </c>
      <c r="X407" s="1293" t="str">
        <f>'🔵クレーム'!D398</f>
        <v/>
      </c>
      <c r="Y407" s="1292" t="str">
        <f>'🔵クレーム'!I398</f>
        <v/>
      </c>
      <c r="Z407" s="1293" t="str">
        <f>'🔵クレーム'!J398</f>
        <v/>
      </c>
      <c r="AA407" s="1293" t="str">
        <f>'🔵クレーム'!K398</f>
        <v/>
      </c>
      <c r="AB407" s="1293" t="str">
        <f>'🔵クレーム'!L398</f>
        <v/>
      </c>
      <c r="AC407" s="1295" t="str">
        <f>'🔵クレーム'!N398</f>
        <v/>
      </c>
      <c r="AH407" s="274"/>
    </row>
    <row r="408">
      <c r="B408" s="1282"/>
      <c r="C408" s="1282"/>
      <c r="D408" s="1282"/>
      <c r="E408" s="351"/>
      <c r="F408" s="1282"/>
      <c r="G408" s="1282"/>
      <c r="H408" s="1282"/>
      <c r="I408" s="1282"/>
      <c r="J408" s="1282" t="s">
        <v>903</v>
      </c>
      <c r="K408" s="1282"/>
      <c r="L408" s="1282"/>
      <c r="O408" s="1293"/>
      <c r="P408" s="1293"/>
      <c r="Q408" s="1293"/>
      <c r="R408" s="1293"/>
      <c r="S408" s="1293"/>
      <c r="T408" s="1293"/>
      <c r="U408" s="1293"/>
      <c r="W408" s="1293" t="str">
        <f>'🔵クレーム'!C399</f>
        <v/>
      </c>
      <c r="X408" s="1293" t="str">
        <f>'🔵クレーム'!D399</f>
        <v/>
      </c>
      <c r="Y408" s="1292" t="str">
        <f>'🔵クレーム'!I399</f>
        <v/>
      </c>
      <c r="Z408" s="1293" t="str">
        <f>'🔵クレーム'!J399</f>
        <v/>
      </c>
      <c r="AA408" s="1293" t="str">
        <f>'🔵クレーム'!K399</f>
        <v/>
      </c>
      <c r="AB408" s="1293" t="str">
        <f>'🔵クレーム'!L399</f>
        <v/>
      </c>
      <c r="AC408" s="1295" t="str">
        <f>'🔵クレーム'!N399</f>
        <v/>
      </c>
      <c r="AH408" s="274"/>
    </row>
    <row r="409">
      <c r="B409" s="1282"/>
      <c r="C409" s="1282"/>
      <c r="D409" s="1282"/>
      <c r="E409" s="351"/>
      <c r="F409" s="1282"/>
      <c r="G409" s="1282"/>
      <c r="H409" s="1282"/>
      <c r="I409" s="1282"/>
      <c r="J409" s="1282" t="s">
        <v>903</v>
      </c>
      <c r="K409" s="1282"/>
      <c r="L409" s="1282"/>
      <c r="O409" s="1293"/>
      <c r="P409" s="1293"/>
      <c r="Q409" s="1293"/>
      <c r="R409" s="1293"/>
      <c r="S409" s="1293"/>
      <c r="T409" s="1293"/>
      <c r="U409" s="1293"/>
      <c r="W409" s="1293" t="str">
        <f>'🔵クレーム'!C400</f>
        <v/>
      </c>
      <c r="X409" s="1293" t="str">
        <f>'🔵クレーム'!D400</f>
        <v/>
      </c>
      <c r="Y409" s="1292" t="str">
        <f>'🔵クレーム'!I400</f>
        <v/>
      </c>
      <c r="Z409" s="1293" t="str">
        <f>'🔵クレーム'!J400</f>
        <v/>
      </c>
      <c r="AA409" s="1293" t="str">
        <f>'🔵クレーム'!K400</f>
        <v/>
      </c>
      <c r="AB409" s="1293" t="str">
        <f>'🔵クレーム'!L400</f>
        <v/>
      </c>
      <c r="AC409" s="1295" t="str">
        <f>'🔵クレーム'!N400</f>
        <v/>
      </c>
      <c r="AH409" s="274"/>
    </row>
    <row r="410">
      <c r="B410" s="1282"/>
      <c r="C410" s="1282"/>
      <c r="D410" s="1282"/>
      <c r="E410" s="351"/>
      <c r="F410" s="1282"/>
      <c r="G410" s="1282"/>
      <c r="H410" s="1282"/>
      <c r="I410" s="1282"/>
      <c r="J410" s="1282" t="s">
        <v>903</v>
      </c>
      <c r="K410" s="1282"/>
      <c r="L410" s="1282"/>
      <c r="O410" s="1293"/>
      <c r="P410" s="1293"/>
      <c r="Q410" s="1293"/>
      <c r="R410" s="1293"/>
      <c r="S410" s="1293"/>
      <c r="T410" s="1293"/>
      <c r="U410" s="1293"/>
      <c r="W410" s="1293" t="str">
        <f>'🔵クレーム'!C401</f>
        <v/>
      </c>
      <c r="X410" s="1293" t="str">
        <f>'🔵クレーム'!D401</f>
        <v/>
      </c>
      <c r="Y410" s="1292" t="str">
        <f>'🔵クレーム'!I401</f>
        <v/>
      </c>
      <c r="Z410" s="1293" t="str">
        <f>'🔵クレーム'!J401</f>
        <v/>
      </c>
      <c r="AA410" s="1293" t="str">
        <f>'🔵クレーム'!K401</f>
        <v/>
      </c>
      <c r="AB410" s="1293" t="str">
        <f>'🔵クレーム'!L401</f>
        <v/>
      </c>
      <c r="AC410" s="1295" t="str">
        <f>'🔵クレーム'!N401</f>
        <v/>
      </c>
      <c r="AH410" s="274"/>
    </row>
    <row r="411">
      <c r="B411" s="1282"/>
      <c r="C411" s="1282"/>
      <c r="D411" s="1282"/>
      <c r="E411" s="351"/>
      <c r="F411" s="1282"/>
      <c r="G411" s="1282"/>
      <c r="H411" s="1282"/>
      <c r="I411" s="1282"/>
      <c r="J411" s="1282" t="s">
        <v>903</v>
      </c>
      <c r="K411" s="1282"/>
      <c r="L411" s="1282"/>
      <c r="O411" s="1293"/>
      <c r="P411" s="1293"/>
      <c r="Q411" s="1293"/>
      <c r="R411" s="1293"/>
      <c r="S411" s="1293"/>
      <c r="T411" s="1293"/>
      <c r="U411" s="1293"/>
      <c r="W411" s="1293" t="str">
        <f>'🔵クレーム'!C402</f>
        <v/>
      </c>
      <c r="X411" s="1293" t="str">
        <f>'🔵クレーム'!D402</f>
        <v/>
      </c>
      <c r="Y411" s="1292" t="str">
        <f>'🔵クレーム'!I402</f>
        <v/>
      </c>
      <c r="Z411" s="1293" t="str">
        <f>'🔵クレーム'!J402</f>
        <v/>
      </c>
      <c r="AA411" s="1293" t="str">
        <f>'🔵クレーム'!K402</f>
        <v/>
      </c>
      <c r="AB411" s="1293" t="str">
        <f>'🔵クレーム'!L402</f>
        <v/>
      </c>
      <c r="AC411" s="1295" t="str">
        <f>'🔵クレーム'!N402</f>
        <v/>
      </c>
      <c r="AH411" s="274"/>
    </row>
    <row r="412">
      <c r="B412" s="1282"/>
      <c r="C412" s="1282"/>
      <c r="D412" s="1282"/>
      <c r="E412" s="351"/>
      <c r="F412" s="1282"/>
      <c r="G412" s="1282"/>
      <c r="H412" s="1282"/>
      <c r="I412" s="1282"/>
      <c r="J412" s="1282" t="s">
        <v>903</v>
      </c>
      <c r="K412" s="1282"/>
      <c r="L412" s="1282"/>
      <c r="O412" s="1293"/>
      <c r="P412" s="1293"/>
      <c r="Q412" s="1293"/>
      <c r="R412" s="1293"/>
      <c r="S412" s="1293"/>
      <c r="T412" s="1293"/>
      <c r="U412" s="1293"/>
      <c r="W412" s="1293" t="str">
        <f>'🔵クレーム'!C403</f>
        <v/>
      </c>
      <c r="X412" s="1293" t="str">
        <f>'🔵クレーム'!D403</f>
        <v/>
      </c>
      <c r="Y412" s="1292" t="str">
        <f>'🔵クレーム'!I403</f>
        <v/>
      </c>
      <c r="Z412" s="1293" t="str">
        <f>'🔵クレーム'!J403</f>
        <v/>
      </c>
      <c r="AA412" s="1293" t="str">
        <f>'🔵クレーム'!K403</f>
        <v/>
      </c>
      <c r="AB412" s="1293" t="str">
        <f>'🔵クレーム'!L403</f>
        <v/>
      </c>
      <c r="AC412" s="1295" t="str">
        <f>'🔵クレーム'!N403</f>
        <v/>
      </c>
      <c r="AH412" s="274"/>
    </row>
    <row r="413">
      <c r="B413" s="1282"/>
      <c r="C413" s="1282"/>
      <c r="D413" s="1282"/>
      <c r="E413" s="351"/>
      <c r="F413" s="1282"/>
      <c r="G413" s="1282"/>
      <c r="H413" s="1282"/>
      <c r="I413" s="1282"/>
      <c r="J413" s="1282" t="s">
        <v>903</v>
      </c>
      <c r="K413" s="1282"/>
      <c r="L413" s="1282"/>
      <c r="O413" s="1293"/>
      <c r="P413" s="1293"/>
      <c r="Q413" s="1293"/>
      <c r="R413" s="1293"/>
      <c r="S413" s="1293"/>
      <c r="T413" s="1293"/>
      <c r="U413" s="1293"/>
      <c r="W413" s="1293" t="str">
        <f>'🔵クレーム'!C404</f>
        <v/>
      </c>
      <c r="X413" s="1293" t="str">
        <f>'🔵クレーム'!D404</f>
        <v/>
      </c>
      <c r="Y413" s="1292" t="str">
        <f>'🔵クレーム'!I404</f>
        <v/>
      </c>
      <c r="Z413" s="1293" t="str">
        <f>'🔵クレーム'!J404</f>
        <v/>
      </c>
      <c r="AA413" s="1293" t="str">
        <f>'🔵クレーム'!K404</f>
        <v/>
      </c>
      <c r="AB413" s="1293" t="str">
        <f>'🔵クレーム'!L404</f>
        <v/>
      </c>
      <c r="AC413" s="1295" t="str">
        <f>'🔵クレーム'!N404</f>
        <v/>
      </c>
      <c r="AH413" s="274"/>
    </row>
    <row r="414">
      <c r="B414" s="1282"/>
      <c r="C414" s="1282"/>
      <c r="D414" s="1282"/>
      <c r="E414" s="351"/>
      <c r="F414" s="1282"/>
      <c r="G414" s="1282"/>
      <c r="H414" s="1282"/>
      <c r="I414" s="1282"/>
      <c r="J414" s="1282" t="s">
        <v>903</v>
      </c>
      <c r="K414" s="1282"/>
      <c r="L414" s="1282"/>
      <c r="O414" s="1293"/>
      <c r="P414" s="1293"/>
      <c r="Q414" s="1293"/>
      <c r="R414" s="1293"/>
      <c r="S414" s="1293"/>
      <c r="T414" s="1293"/>
      <c r="U414" s="1293"/>
      <c r="W414" s="1293" t="str">
        <f>'🔵クレーム'!C405</f>
        <v/>
      </c>
      <c r="X414" s="1293" t="str">
        <f>'🔵クレーム'!D405</f>
        <v/>
      </c>
      <c r="Y414" s="1292" t="str">
        <f>'🔵クレーム'!I405</f>
        <v/>
      </c>
      <c r="Z414" s="1293" t="str">
        <f>'🔵クレーム'!J405</f>
        <v/>
      </c>
      <c r="AA414" s="1293" t="str">
        <f>'🔵クレーム'!K405</f>
        <v/>
      </c>
      <c r="AB414" s="1293" t="str">
        <f>'🔵クレーム'!L405</f>
        <v/>
      </c>
      <c r="AC414" s="1295" t="str">
        <f>'🔵クレーム'!N405</f>
        <v/>
      </c>
      <c r="AH414" s="274"/>
    </row>
    <row r="415">
      <c r="B415" s="1282"/>
      <c r="C415" s="1282"/>
      <c r="D415" s="1282"/>
      <c r="E415" s="351"/>
      <c r="F415" s="1282"/>
      <c r="G415" s="1282"/>
      <c r="H415" s="1282"/>
      <c r="I415" s="1282"/>
      <c r="J415" s="1282" t="s">
        <v>903</v>
      </c>
      <c r="K415" s="1282"/>
      <c r="L415" s="1282"/>
      <c r="O415" s="1293"/>
      <c r="P415" s="1293"/>
      <c r="Q415" s="1293"/>
      <c r="R415" s="1293"/>
      <c r="S415" s="1293"/>
      <c r="T415" s="1293"/>
      <c r="U415" s="1293"/>
      <c r="W415" s="1293" t="str">
        <f>'🔵クレーム'!C406</f>
        <v/>
      </c>
      <c r="X415" s="1293" t="str">
        <f>'🔵クレーム'!D406</f>
        <v/>
      </c>
      <c r="Y415" s="1292" t="str">
        <f>'🔵クレーム'!I406</f>
        <v/>
      </c>
      <c r="Z415" s="1293" t="str">
        <f>'🔵クレーム'!J406</f>
        <v/>
      </c>
      <c r="AA415" s="1293" t="str">
        <f>'🔵クレーム'!K406</f>
        <v/>
      </c>
      <c r="AB415" s="1293" t="str">
        <f>'🔵クレーム'!L406</f>
        <v/>
      </c>
      <c r="AC415" s="1295" t="str">
        <f>'🔵クレーム'!N406</f>
        <v/>
      </c>
      <c r="AH415" s="274"/>
    </row>
    <row r="416">
      <c r="B416" s="1282"/>
      <c r="C416" s="1282"/>
      <c r="D416" s="1282"/>
      <c r="E416" s="351"/>
      <c r="F416" s="1282"/>
      <c r="G416" s="1282"/>
      <c r="H416" s="1282"/>
      <c r="I416" s="1282"/>
      <c r="J416" s="1282" t="s">
        <v>903</v>
      </c>
      <c r="K416" s="1282"/>
      <c r="L416" s="1282"/>
      <c r="O416" s="1293"/>
      <c r="P416" s="1293"/>
      <c r="Q416" s="1293"/>
      <c r="R416" s="1293"/>
      <c r="S416" s="1293"/>
      <c r="T416" s="1293"/>
      <c r="U416" s="1293"/>
      <c r="W416" s="1293" t="str">
        <f>'🔵クレーム'!C407</f>
        <v/>
      </c>
      <c r="X416" s="1293" t="str">
        <f>'🔵クレーム'!D407</f>
        <v/>
      </c>
      <c r="Y416" s="1292" t="str">
        <f>'🔵クレーム'!I407</f>
        <v/>
      </c>
      <c r="Z416" s="1293" t="str">
        <f>'🔵クレーム'!J407</f>
        <v/>
      </c>
      <c r="AA416" s="1293" t="str">
        <f>'🔵クレーム'!K407</f>
        <v/>
      </c>
      <c r="AB416" s="1293" t="str">
        <f>'🔵クレーム'!L407</f>
        <v/>
      </c>
      <c r="AC416" s="1295" t="str">
        <f>'🔵クレーム'!N407</f>
        <v/>
      </c>
      <c r="AH416" s="274"/>
    </row>
    <row r="417">
      <c r="B417" s="1282"/>
      <c r="C417" s="1282"/>
      <c r="D417" s="1282"/>
      <c r="E417" s="351"/>
      <c r="F417" s="1282"/>
      <c r="G417" s="1282"/>
      <c r="H417" s="1282"/>
      <c r="I417" s="1282"/>
      <c r="J417" s="1282" t="s">
        <v>903</v>
      </c>
      <c r="K417" s="1282"/>
      <c r="L417" s="1282"/>
      <c r="AC417" s="1342"/>
      <c r="AH417" s="274"/>
    </row>
    <row r="418">
      <c r="B418" s="1282"/>
      <c r="C418" s="1282"/>
      <c r="D418" s="1282"/>
      <c r="E418" s="351"/>
      <c r="F418" s="1282"/>
      <c r="G418" s="1282"/>
      <c r="H418" s="1282"/>
      <c r="I418" s="1282"/>
      <c r="J418" s="1282" t="s">
        <v>903</v>
      </c>
      <c r="K418" s="1282"/>
      <c r="L418" s="1282"/>
      <c r="AC418" s="1342"/>
      <c r="AH418" s="274"/>
    </row>
    <row r="419">
      <c r="B419" s="1282"/>
      <c r="C419" s="1282"/>
      <c r="D419" s="1282"/>
      <c r="E419" s="351"/>
      <c r="F419" s="1282"/>
      <c r="G419" s="1282"/>
      <c r="H419" s="1282"/>
      <c r="I419" s="1282"/>
      <c r="J419" s="1282" t="s">
        <v>903</v>
      </c>
      <c r="K419" s="1282"/>
      <c r="L419" s="1282"/>
      <c r="AC419" s="1342"/>
      <c r="AH419" s="274"/>
    </row>
    <row r="420">
      <c r="B420" s="1282"/>
      <c r="C420" s="1282"/>
      <c r="D420" s="1282"/>
      <c r="E420" s="351"/>
      <c r="F420" s="1282"/>
      <c r="G420" s="1282"/>
      <c r="H420" s="1282"/>
      <c r="I420" s="1282"/>
      <c r="J420" s="1282" t="s">
        <v>903</v>
      </c>
      <c r="K420" s="1282"/>
      <c r="L420" s="1282"/>
      <c r="AC420" s="1342"/>
      <c r="AH420" s="274"/>
    </row>
    <row r="421">
      <c r="B421" s="1282"/>
      <c r="C421" s="1282"/>
      <c r="D421" s="1282"/>
      <c r="E421" s="351"/>
      <c r="F421" s="1282"/>
      <c r="G421" s="1282"/>
      <c r="H421" s="1282"/>
      <c r="I421" s="1282"/>
      <c r="J421" s="1282" t="s">
        <v>903</v>
      </c>
      <c r="K421" s="1282"/>
      <c r="L421" s="1282"/>
      <c r="AC421" s="1342"/>
      <c r="AH421" s="274"/>
    </row>
    <row r="422">
      <c r="B422" s="1282"/>
      <c r="C422" s="1282"/>
      <c r="D422" s="1282"/>
      <c r="E422" s="351"/>
      <c r="F422" s="1282"/>
      <c r="G422" s="1282"/>
      <c r="H422" s="1282"/>
      <c r="I422" s="1282"/>
      <c r="J422" s="1282" t="s">
        <v>903</v>
      </c>
      <c r="K422" s="1282"/>
      <c r="L422" s="1282"/>
      <c r="AC422" s="1342"/>
      <c r="AH422" s="274"/>
    </row>
    <row r="423">
      <c r="B423" s="1282"/>
      <c r="C423" s="1282"/>
      <c r="D423" s="1282"/>
      <c r="E423" s="351"/>
      <c r="F423" s="1282"/>
      <c r="G423" s="1282"/>
      <c r="H423" s="1282"/>
      <c r="I423" s="1282"/>
      <c r="J423" s="1282" t="s">
        <v>903</v>
      </c>
      <c r="K423" s="1282"/>
      <c r="L423" s="1282"/>
      <c r="AC423" s="1342"/>
      <c r="AH423" s="274"/>
    </row>
    <row r="424">
      <c r="B424" s="1282"/>
      <c r="C424" s="1282"/>
      <c r="D424" s="1282"/>
      <c r="E424" s="351"/>
      <c r="F424" s="1282"/>
      <c r="G424" s="1282"/>
      <c r="H424" s="1282"/>
      <c r="I424" s="1282"/>
      <c r="J424" s="1282" t="s">
        <v>903</v>
      </c>
      <c r="K424" s="1282"/>
      <c r="L424" s="1282"/>
      <c r="AC424" s="1342"/>
      <c r="AH424" s="274"/>
    </row>
    <row r="425">
      <c r="B425" s="1282"/>
      <c r="C425" s="1282"/>
      <c r="D425" s="1282"/>
      <c r="E425" s="351"/>
      <c r="F425" s="1282"/>
      <c r="G425" s="1282"/>
      <c r="H425" s="1282"/>
      <c r="I425" s="1282"/>
      <c r="J425" s="1282" t="s">
        <v>903</v>
      </c>
      <c r="K425" s="1282"/>
      <c r="L425" s="1282"/>
      <c r="AC425" s="1342"/>
      <c r="AH425" s="274"/>
    </row>
    <row r="426">
      <c r="B426" s="1282"/>
      <c r="C426" s="1282"/>
      <c r="D426" s="1282"/>
      <c r="E426" s="351"/>
      <c r="F426" s="1282"/>
      <c r="G426" s="1282"/>
      <c r="H426" s="1282"/>
      <c r="I426" s="1282"/>
      <c r="J426" s="1282" t="s">
        <v>903</v>
      </c>
      <c r="K426" s="1282"/>
      <c r="L426" s="1282"/>
      <c r="AC426" s="1342"/>
      <c r="AH426" s="274"/>
    </row>
    <row r="427">
      <c r="B427" s="1282"/>
      <c r="C427" s="1282"/>
      <c r="D427" s="1282"/>
      <c r="E427" s="351"/>
      <c r="F427" s="1282"/>
      <c r="G427" s="1282"/>
      <c r="H427" s="1282"/>
      <c r="I427" s="1282"/>
      <c r="J427" s="1282" t="s">
        <v>903</v>
      </c>
      <c r="K427" s="1282"/>
      <c r="L427" s="1282"/>
      <c r="AC427" s="1342"/>
      <c r="AH427" s="274"/>
    </row>
    <row r="428">
      <c r="B428" s="1282"/>
      <c r="C428" s="1282"/>
      <c r="D428" s="1282"/>
      <c r="E428" s="351"/>
      <c r="F428" s="1282"/>
      <c r="G428" s="1282"/>
      <c r="H428" s="1282"/>
      <c r="I428" s="1282"/>
      <c r="J428" s="1282" t="s">
        <v>903</v>
      </c>
      <c r="K428" s="1282"/>
      <c r="L428" s="1282"/>
      <c r="AC428" s="1342"/>
      <c r="AH428" s="274"/>
    </row>
    <row r="429">
      <c r="B429" s="1282"/>
      <c r="C429" s="1282"/>
      <c r="D429" s="1282"/>
      <c r="E429" s="351"/>
      <c r="F429" s="1282"/>
      <c r="G429" s="1282"/>
      <c r="H429" s="1282"/>
      <c r="I429" s="1282"/>
      <c r="J429" s="1282" t="s">
        <v>903</v>
      </c>
      <c r="K429" s="1282"/>
      <c r="L429" s="1282"/>
      <c r="AC429" s="1342"/>
      <c r="AH429" s="274"/>
    </row>
    <row r="430">
      <c r="B430" s="1282"/>
      <c r="C430" s="1282"/>
      <c r="D430" s="1282"/>
      <c r="E430" s="351"/>
      <c r="F430" s="1282"/>
      <c r="G430" s="1282"/>
      <c r="H430" s="1282"/>
      <c r="I430" s="1282"/>
      <c r="J430" s="1282" t="s">
        <v>903</v>
      </c>
      <c r="K430" s="1282"/>
      <c r="L430" s="1282"/>
      <c r="AC430" s="1342"/>
      <c r="AH430" s="274"/>
    </row>
    <row r="431">
      <c r="B431" s="1282"/>
      <c r="C431" s="1282"/>
      <c r="D431" s="1282"/>
      <c r="E431" s="351"/>
      <c r="F431" s="1282"/>
      <c r="G431" s="1282"/>
      <c r="H431" s="1282"/>
      <c r="I431" s="1282"/>
      <c r="J431" s="1282" t="s">
        <v>903</v>
      </c>
      <c r="K431" s="1282"/>
      <c r="L431" s="1282"/>
      <c r="AC431" s="1342"/>
      <c r="AH431" s="274"/>
    </row>
    <row r="432">
      <c r="B432" s="1282"/>
      <c r="C432" s="1282"/>
      <c r="D432" s="1282"/>
      <c r="E432" s="351"/>
      <c r="F432" s="1282"/>
      <c r="G432" s="1282"/>
      <c r="H432" s="1282"/>
      <c r="I432" s="1282"/>
      <c r="J432" s="1282" t="s">
        <v>903</v>
      </c>
      <c r="K432" s="1282"/>
      <c r="L432" s="1282"/>
      <c r="AC432" s="1342"/>
      <c r="AH432" s="274"/>
    </row>
    <row r="433">
      <c r="B433" s="1282"/>
      <c r="C433" s="1282"/>
      <c r="D433" s="1282"/>
      <c r="E433" s="351"/>
      <c r="F433" s="1282"/>
      <c r="G433" s="1282"/>
      <c r="H433" s="1282"/>
      <c r="I433" s="1282"/>
      <c r="J433" s="1282" t="s">
        <v>903</v>
      </c>
      <c r="K433" s="1282"/>
      <c r="L433" s="1282"/>
      <c r="AC433" s="1342"/>
      <c r="AH433" s="274"/>
    </row>
    <row r="434">
      <c r="B434" s="1282"/>
      <c r="C434" s="1282"/>
      <c r="D434" s="1282"/>
      <c r="E434" s="351"/>
      <c r="F434" s="1282"/>
      <c r="G434" s="1282"/>
      <c r="H434" s="1282"/>
      <c r="I434" s="1282"/>
      <c r="J434" s="1282" t="s">
        <v>903</v>
      </c>
      <c r="K434" s="1282"/>
      <c r="L434" s="1282"/>
      <c r="AC434" s="1342"/>
      <c r="AH434" s="274"/>
    </row>
    <row r="435">
      <c r="B435" s="1282"/>
      <c r="C435" s="1282"/>
      <c r="D435" s="1282"/>
      <c r="E435" s="351"/>
      <c r="F435" s="1282"/>
      <c r="G435" s="1282"/>
      <c r="H435" s="1282"/>
      <c r="I435" s="1282"/>
      <c r="J435" s="1282" t="s">
        <v>903</v>
      </c>
      <c r="K435" s="1282"/>
      <c r="L435" s="1282"/>
      <c r="AC435" s="1342"/>
      <c r="AH435" s="274"/>
    </row>
    <row r="436">
      <c r="B436" s="1282"/>
      <c r="C436" s="1282"/>
      <c r="D436" s="1282"/>
      <c r="E436" s="351"/>
      <c r="F436" s="1282"/>
      <c r="G436" s="1282"/>
      <c r="H436" s="1282"/>
      <c r="I436" s="1282"/>
      <c r="J436" s="1282" t="s">
        <v>903</v>
      </c>
      <c r="K436" s="1282"/>
      <c r="L436" s="1282"/>
      <c r="AC436" s="1342"/>
      <c r="AH436" s="274"/>
    </row>
    <row r="437">
      <c r="B437" s="1282"/>
      <c r="C437" s="1282"/>
      <c r="D437" s="1282"/>
      <c r="E437" s="351"/>
      <c r="F437" s="1282"/>
      <c r="G437" s="1282"/>
      <c r="H437" s="1282"/>
      <c r="I437" s="1282"/>
      <c r="J437" s="1282" t="s">
        <v>903</v>
      </c>
      <c r="K437" s="1282"/>
      <c r="L437" s="1282"/>
      <c r="AC437" s="1342"/>
      <c r="AH437" s="274"/>
    </row>
    <row r="438">
      <c r="B438" s="1282"/>
      <c r="C438" s="1282"/>
      <c r="D438" s="1282"/>
      <c r="E438" s="351"/>
      <c r="F438" s="1282"/>
      <c r="G438" s="1282"/>
      <c r="H438" s="1282"/>
      <c r="I438" s="1282"/>
      <c r="J438" s="1282" t="s">
        <v>903</v>
      </c>
      <c r="K438" s="1282"/>
      <c r="L438" s="1282"/>
      <c r="AC438" s="1342"/>
      <c r="AH438" s="274"/>
    </row>
    <row r="439">
      <c r="B439" s="1282"/>
      <c r="C439" s="1282"/>
      <c r="D439" s="1282"/>
      <c r="E439" s="351"/>
      <c r="F439" s="1282"/>
      <c r="G439" s="1282"/>
      <c r="H439" s="1282"/>
      <c r="I439" s="1282"/>
      <c r="J439" s="1282" t="s">
        <v>903</v>
      </c>
      <c r="K439" s="1282"/>
      <c r="L439" s="1282"/>
      <c r="AC439" s="1342"/>
      <c r="AH439" s="274"/>
    </row>
    <row r="440">
      <c r="B440" s="1282"/>
      <c r="C440" s="1282"/>
      <c r="D440" s="1282"/>
      <c r="E440" s="351"/>
      <c r="F440" s="1282"/>
      <c r="G440" s="1282"/>
      <c r="H440" s="1282"/>
      <c r="I440" s="1282"/>
      <c r="J440" s="1282" t="s">
        <v>903</v>
      </c>
      <c r="K440" s="1282"/>
      <c r="L440" s="1282"/>
      <c r="AC440" s="1342"/>
      <c r="AH440" s="274"/>
    </row>
    <row r="441">
      <c r="B441" s="1282"/>
      <c r="C441" s="1282"/>
      <c r="D441" s="1282"/>
      <c r="E441" s="351"/>
      <c r="F441" s="1282"/>
      <c r="G441" s="1282"/>
      <c r="H441" s="1282"/>
      <c r="I441" s="1282"/>
      <c r="J441" s="1282" t="s">
        <v>903</v>
      </c>
      <c r="K441" s="1282"/>
      <c r="L441" s="1282"/>
      <c r="AC441" s="1342"/>
      <c r="AH441" s="274"/>
    </row>
    <row r="442">
      <c r="B442" s="1282"/>
      <c r="C442" s="1282"/>
      <c r="D442" s="1282"/>
      <c r="E442" s="351"/>
      <c r="F442" s="1282"/>
      <c r="G442" s="1282"/>
      <c r="H442" s="1282"/>
      <c r="I442" s="1282"/>
      <c r="J442" s="1282" t="s">
        <v>903</v>
      </c>
      <c r="K442" s="1282"/>
      <c r="L442" s="1282"/>
      <c r="AC442" s="1342"/>
      <c r="AH442" s="274"/>
    </row>
    <row r="443">
      <c r="B443" s="1282"/>
      <c r="C443" s="1282"/>
      <c r="D443" s="1282"/>
      <c r="E443" s="351"/>
      <c r="F443" s="1282"/>
      <c r="G443" s="1282"/>
      <c r="H443" s="1282"/>
      <c r="I443" s="1282"/>
      <c r="J443" s="1282" t="s">
        <v>903</v>
      </c>
      <c r="K443" s="1282"/>
      <c r="L443" s="1282"/>
      <c r="AC443" s="1342"/>
      <c r="AH443" s="274"/>
    </row>
    <row r="444">
      <c r="B444" s="1282"/>
      <c r="C444" s="1282"/>
      <c r="D444" s="1282"/>
      <c r="E444" s="351"/>
      <c r="F444" s="1282"/>
      <c r="G444" s="1282"/>
      <c r="H444" s="1282"/>
      <c r="I444" s="1282"/>
      <c r="J444" s="1282" t="s">
        <v>903</v>
      </c>
      <c r="K444" s="1282"/>
      <c r="L444" s="1282"/>
      <c r="AC444" s="1342"/>
      <c r="AH444" s="274"/>
    </row>
    <row r="445">
      <c r="B445" s="1282"/>
      <c r="C445" s="1282"/>
      <c r="D445" s="1282"/>
      <c r="E445" s="351"/>
      <c r="F445" s="1282"/>
      <c r="G445" s="1282"/>
      <c r="H445" s="1282"/>
      <c r="I445" s="1282"/>
      <c r="J445" s="1282" t="s">
        <v>903</v>
      </c>
      <c r="K445" s="1282"/>
      <c r="L445" s="1282"/>
      <c r="AC445" s="1342"/>
      <c r="AH445" s="274"/>
    </row>
    <row r="446">
      <c r="B446" s="1282"/>
      <c r="C446" s="1282"/>
      <c r="D446" s="1282"/>
      <c r="E446" s="351"/>
      <c r="F446" s="1282"/>
      <c r="G446" s="1282"/>
      <c r="H446" s="1282"/>
      <c r="I446" s="1282"/>
      <c r="J446" s="1282" t="s">
        <v>903</v>
      </c>
      <c r="K446" s="1282"/>
      <c r="L446" s="1282"/>
      <c r="AC446" s="1342"/>
      <c r="AH446" s="274"/>
    </row>
    <row r="447">
      <c r="B447" s="1282"/>
      <c r="C447" s="1282"/>
      <c r="D447" s="1282"/>
      <c r="E447" s="351"/>
      <c r="F447" s="1282"/>
      <c r="G447" s="1282"/>
      <c r="H447" s="1282"/>
      <c r="I447" s="1282"/>
      <c r="J447" s="1282" t="s">
        <v>903</v>
      </c>
      <c r="K447" s="1282"/>
      <c r="L447" s="1282"/>
      <c r="AC447" s="1342"/>
      <c r="AH447" s="274"/>
    </row>
    <row r="448">
      <c r="B448" s="1282"/>
      <c r="C448" s="1282"/>
      <c r="D448" s="1282"/>
      <c r="E448" s="351"/>
      <c r="F448" s="1282"/>
      <c r="G448" s="1282"/>
      <c r="H448" s="1282"/>
      <c r="I448" s="1282"/>
      <c r="J448" s="1282" t="s">
        <v>903</v>
      </c>
      <c r="K448" s="1282"/>
      <c r="L448" s="1282"/>
      <c r="AC448" s="1342"/>
      <c r="AH448" s="274"/>
    </row>
    <row r="449">
      <c r="B449" s="1282"/>
      <c r="C449" s="1282"/>
      <c r="D449" s="1282"/>
      <c r="E449" s="351"/>
      <c r="F449" s="1282"/>
      <c r="G449" s="1282"/>
      <c r="H449" s="1282"/>
      <c r="I449" s="1282"/>
      <c r="J449" s="1282" t="s">
        <v>903</v>
      </c>
      <c r="K449" s="1282"/>
      <c r="L449" s="1282"/>
      <c r="AC449" s="1342"/>
      <c r="AH449" s="274"/>
    </row>
    <row r="450">
      <c r="B450" s="1282"/>
      <c r="C450" s="1282"/>
      <c r="D450" s="1282"/>
      <c r="E450" s="351"/>
      <c r="F450" s="1282"/>
      <c r="G450" s="1282"/>
      <c r="H450" s="1282"/>
      <c r="I450" s="1282"/>
      <c r="J450" s="1282" t="s">
        <v>903</v>
      </c>
      <c r="K450" s="1282"/>
      <c r="L450" s="1282"/>
      <c r="AC450" s="1342"/>
      <c r="AH450" s="274"/>
    </row>
    <row r="451">
      <c r="B451" s="1282"/>
      <c r="C451" s="1282"/>
      <c r="D451" s="1282"/>
      <c r="E451" s="351"/>
      <c r="F451" s="1282"/>
      <c r="G451" s="1282"/>
      <c r="H451" s="1282"/>
      <c r="I451" s="1282"/>
      <c r="J451" s="1282" t="s">
        <v>903</v>
      </c>
      <c r="K451" s="1282"/>
      <c r="L451" s="1282"/>
      <c r="AC451" s="1342"/>
      <c r="AH451" s="274"/>
    </row>
    <row r="452">
      <c r="B452" s="1282"/>
      <c r="C452" s="1282"/>
      <c r="D452" s="1282"/>
      <c r="E452" s="351"/>
      <c r="F452" s="1282"/>
      <c r="G452" s="1282"/>
      <c r="H452" s="1282"/>
      <c r="I452" s="1282"/>
      <c r="J452" s="1282" t="s">
        <v>903</v>
      </c>
      <c r="K452" s="1282"/>
      <c r="L452" s="1282"/>
      <c r="AC452" s="1342"/>
      <c r="AH452" s="274"/>
    </row>
    <row r="453">
      <c r="B453" s="1282"/>
      <c r="C453" s="1282"/>
      <c r="D453" s="1282"/>
      <c r="E453" s="351"/>
      <c r="F453" s="1282"/>
      <c r="G453" s="1282"/>
      <c r="H453" s="1282"/>
      <c r="I453" s="1282"/>
      <c r="J453" s="1282" t="s">
        <v>903</v>
      </c>
      <c r="K453" s="1282"/>
      <c r="L453" s="1282"/>
      <c r="AC453" s="1342"/>
      <c r="AH453" s="274"/>
    </row>
    <row r="454">
      <c r="B454" s="1282"/>
      <c r="C454" s="1282"/>
      <c r="D454" s="1282"/>
      <c r="E454" s="351"/>
      <c r="F454" s="1282"/>
      <c r="G454" s="1282"/>
      <c r="H454" s="1282"/>
      <c r="I454" s="1282"/>
      <c r="J454" s="1282" t="s">
        <v>903</v>
      </c>
      <c r="K454" s="1282"/>
      <c r="L454" s="1282"/>
      <c r="AC454" s="1342"/>
      <c r="AH454" s="274"/>
    </row>
    <row r="455">
      <c r="B455" s="1282"/>
      <c r="C455" s="1282"/>
      <c r="D455" s="1282"/>
      <c r="E455" s="351"/>
      <c r="F455" s="1282"/>
      <c r="G455" s="1282"/>
      <c r="H455" s="1282"/>
      <c r="I455" s="1282"/>
      <c r="J455" s="1282" t="s">
        <v>903</v>
      </c>
      <c r="K455" s="1282"/>
      <c r="L455" s="1282"/>
      <c r="AC455" s="1342"/>
      <c r="AH455" s="274"/>
    </row>
    <row r="456">
      <c r="B456" s="1282"/>
      <c r="C456" s="1282"/>
      <c r="D456" s="1282"/>
      <c r="E456" s="351"/>
      <c r="F456" s="1282"/>
      <c r="G456" s="1282"/>
      <c r="H456" s="1282"/>
      <c r="I456" s="1282"/>
      <c r="J456" s="1282" t="s">
        <v>903</v>
      </c>
      <c r="K456" s="1282"/>
      <c r="L456" s="1282"/>
      <c r="AC456" s="1342"/>
      <c r="AH456" s="274"/>
    </row>
    <row r="457">
      <c r="B457" s="1282"/>
      <c r="C457" s="1282"/>
      <c r="D457" s="1282"/>
      <c r="E457" s="351"/>
      <c r="F457" s="1282"/>
      <c r="G457" s="1282"/>
      <c r="H457" s="1282"/>
      <c r="I457" s="1282"/>
      <c r="J457" s="1282" t="s">
        <v>903</v>
      </c>
      <c r="K457" s="1282"/>
      <c r="L457" s="1282"/>
      <c r="AC457" s="1342"/>
      <c r="AH457" s="274"/>
    </row>
    <row r="458">
      <c r="B458" s="1282"/>
      <c r="C458" s="1282"/>
      <c r="D458" s="1282"/>
      <c r="E458" s="351"/>
      <c r="F458" s="1282"/>
      <c r="G458" s="1282"/>
      <c r="H458" s="1282"/>
      <c r="I458" s="1282"/>
      <c r="J458" s="1282" t="s">
        <v>903</v>
      </c>
      <c r="K458" s="1282"/>
      <c r="L458" s="1282"/>
      <c r="AC458" s="1342"/>
      <c r="AH458" s="274"/>
    </row>
    <row r="459">
      <c r="B459" s="1282"/>
      <c r="C459" s="1282"/>
      <c r="D459" s="1282"/>
      <c r="E459" s="351"/>
      <c r="F459" s="1282"/>
      <c r="G459" s="1282"/>
      <c r="H459" s="1282"/>
      <c r="I459" s="1282"/>
      <c r="J459" s="1282" t="s">
        <v>903</v>
      </c>
      <c r="K459" s="1282"/>
      <c r="L459" s="1282"/>
      <c r="AC459" s="1342"/>
      <c r="AH459" s="274"/>
    </row>
    <row r="460">
      <c r="B460" s="1282"/>
      <c r="C460" s="1282"/>
      <c r="D460" s="1282"/>
      <c r="E460" s="351"/>
      <c r="F460" s="1282"/>
      <c r="G460" s="1282"/>
      <c r="H460" s="1282"/>
      <c r="I460" s="1282"/>
      <c r="J460" s="1282" t="s">
        <v>903</v>
      </c>
      <c r="K460" s="1282"/>
      <c r="L460" s="1282"/>
      <c r="AC460" s="1342"/>
      <c r="AH460" s="274"/>
    </row>
    <row r="461">
      <c r="B461" s="1282"/>
      <c r="C461" s="1282"/>
      <c r="D461" s="1282"/>
      <c r="E461" s="351"/>
      <c r="F461" s="1282"/>
      <c r="G461" s="1282"/>
      <c r="H461" s="1282"/>
      <c r="I461" s="1282"/>
      <c r="J461" s="1282" t="s">
        <v>903</v>
      </c>
      <c r="K461" s="1282"/>
      <c r="L461" s="1282"/>
      <c r="AC461" s="1342"/>
      <c r="AH461" s="274"/>
    </row>
    <row r="462">
      <c r="B462" s="1282"/>
      <c r="C462" s="1282"/>
      <c r="D462" s="1282"/>
      <c r="E462" s="351"/>
      <c r="F462" s="1282"/>
      <c r="G462" s="1282"/>
      <c r="H462" s="1282"/>
      <c r="I462" s="1282"/>
      <c r="J462" s="1282" t="s">
        <v>903</v>
      </c>
      <c r="K462" s="1282"/>
      <c r="L462" s="1282"/>
      <c r="AC462" s="1342"/>
      <c r="AH462" s="274"/>
    </row>
    <row r="463">
      <c r="B463" s="1282"/>
      <c r="C463" s="1282"/>
      <c r="D463" s="1282"/>
      <c r="E463" s="351"/>
      <c r="F463" s="1282"/>
      <c r="G463" s="1282"/>
      <c r="H463" s="1282"/>
      <c r="I463" s="1282"/>
      <c r="J463" s="1282" t="s">
        <v>903</v>
      </c>
      <c r="K463" s="1282"/>
      <c r="L463" s="1282"/>
      <c r="AC463" s="1342"/>
      <c r="AH463" s="274"/>
    </row>
    <row r="464">
      <c r="B464" s="1282"/>
      <c r="C464" s="1282"/>
      <c r="D464" s="1282"/>
      <c r="E464" s="351"/>
      <c r="F464" s="1282"/>
      <c r="G464" s="1282"/>
      <c r="H464" s="1282"/>
      <c r="I464" s="1282"/>
      <c r="J464" s="1282" t="s">
        <v>903</v>
      </c>
      <c r="K464" s="1282"/>
      <c r="L464" s="1282"/>
      <c r="AC464" s="1342"/>
      <c r="AH464" s="274"/>
    </row>
    <row r="465">
      <c r="B465" s="1282"/>
      <c r="C465" s="1282"/>
      <c r="D465" s="1282"/>
      <c r="E465" s="351"/>
      <c r="F465" s="1282"/>
      <c r="G465" s="1282"/>
      <c r="H465" s="1282"/>
      <c r="I465" s="1282"/>
      <c r="J465" s="1282" t="s">
        <v>903</v>
      </c>
      <c r="K465" s="1282"/>
      <c r="L465" s="1282"/>
      <c r="AC465" s="1342"/>
      <c r="AH465" s="274"/>
    </row>
    <row r="466">
      <c r="B466" s="1282"/>
      <c r="C466" s="1282"/>
      <c r="D466" s="1282"/>
      <c r="E466" s="351"/>
      <c r="F466" s="1282"/>
      <c r="G466" s="1282"/>
      <c r="H466" s="1282"/>
      <c r="I466" s="1282"/>
      <c r="J466" s="1282" t="s">
        <v>903</v>
      </c>
      <c r="K466" s="1282"/>
      <c r="L466" s="1282"/>
      <c r="AC466" s="1342"/>
      <c r="AH466" s="274"/>
    </row>
    <row r="467">
      <c r="B467" s="1282"/>
      <c r="C467" s="1282"/>
      <c r="D467" s="1282"/>
      <c r="E467" s="351"/>
      <c r="F467" s="1282"/>
      <c r="G467" s="1282"/>
      <c r="H467" s="1282"/>
      <c r="I467" s="1282"/>
      <c r="J467" s="1282" t="s">
        <v>903</v>
      </c>
      <c r="K467" s="1282"/>
      <c r="L467" s="1282"/>
      <c r="AC467" s="1342"/>
      <c r="AH467" s="274"/>
    </row>
    <row r="468">
      <c r="B468" s="1282"/>
      <c r="C468" s="1282"/>
      <c r="D468" s="1282"/>
      <c r="E468" s="351"/>
      <c r="F468" s="1282"/>
      <c r="G468" s="1282"/>
      <c r="H468" s="1282"/>
      <c r="I468" s="1282"/>
      <c r="J468" s="1282" t="s">
        <v>903</v>
      </c>
      <c r="K468" s="1282"/>
      <c r="L468" s="1282"/>
      <c r="AC468" s="1342"/>
      <c r="AH468" s="274"/>
    </row>
    <row r="469">
      <c r="B469" s="1282"/>
      <c r="C469" s="1282"/>
      <c r="D469" s="1282"/>
      <c r="E469" s="351"/>
      <c r="F469" s="1282"/>
      <c r="G469" s="1282"/>
      <c r="H469" s="1282"/>
      <c r="I469" s="1282"/>
      <c r="J469" s="1282" t="s">
        <v>903</v>
      </c>
      <c r="K469" s="1282"/>
      <c r="L469" s="1282"/>
      <c r="AC469" s="1342"/>
      <c r="AH469" s="274"/>
    </row>
    <row r="470">
      <c r="B470" s="1282"/>
      <c r="C470" s="1282"/>
      <c r="D470" s="1282"/>
      <c r="E470" s="351"/>
      <c r="F470" s="1282"/>
      <c r="G470" s="1282"/>
      <c r="H470" s="1282"/>
      <c r="I470" s="1282"/>
      <c r="J470" s="1282" t="s">
        <v>903</v>
      </c>
      <c r="K470" s="1282"/>
      <c r="L470" s="1282"/>
      <c r="AC470" s="1342"/>
      <c r="AH470" s="274"/>
    </row>
    <row r="471">
      <c r="B471" s="1282"/>
      <c r="C471" s="1282"/>
      <c r="D471" s="1282"/>
      <c r="E471" s="351"/>
      <c r="F471" s="1282"/>
      <c r="G471" s="1282"/>
      <c r="H471" s="1282"/>
      <c r="I471" s="1282"/>
      <c r="J471" s="1282" t="s">
        <v>903</v>
      </c>
      <c r="K471" s="1282"/>
      <c r="L471" s="1282"/>
      <c r="AC471" s="1342"/>
      <c r="AH471" s="274"/>
    </row>
    <row r="472">
      <c r="B472" s="1282"/>
      <c r="C472" s="1282"/>
      <c r="D472" s="1282"/>
      <c r="E472" s="351"/>
      <c r="F472" s="1282"/>
      <c r="G472" s="1282"/>
      <c r="H472" s="1282"/>
      <c r="I472" s="1282"/>
      <c r="J472" s="1282" t="s">
        <v>903</v>
      </c>
      <c r="K472" s="1282"/>
      <c r="L472" s="1282"/>
      <c r="AC472" s="1342"/>
      <c r="AH472" s="274"/>
    </row>
    <row r="473">
      <c r="B473" s="1282"/>
      <c r="C473" s="1282"/>
      <c r="D473" s="1282"/>
      <c r="E473" s="351"/>
      <c r="F473" s="1282"/>
      <c r="G473" s="1282"/>
      <c r="H473" s="1282"/>
      <c r="I473" s="1282"/>
      <c r="J473" s="1282" t="s">
        <v>903</v>
      </c>
      <c r="K473" s="1282"/>
      <c r="L473" s="1282"/>
      <c r="AC473" s="1342"/>
      <c r="AH473" s="274"/>
    </row>
    <row r="474">
      <c r="B474" s="1282"/>
      <c r="C474" s="1282"/>
      <c r="D474" s="1282"/>
      <c r="E474" s="351"/>
      <c r="F474" s="1282"/>
      <c r="G474" s="1282"/>
      <c r="H474" s="1282"/>
      <c r="I474" s="1282"/>
      <c r="J474" s="1282" t="s">
        <v>903</v>
      </c>
      <c r="K474" s="1282"/>
      <c r="L474" s="1282"/>
      <c r="AC474" s="1342"/>
      <c r="AH474" s="274"/>
    </row>
    <row r="475">
      <c r="B475" s="1282"/>
      <c r="C475" s="1282"/>
      <c r="D475" s="1282"/>
      <c r="E475" s="351"/>
      <c r="F475" s="1282"/>
      <c r="G475" s="1282"/>
      <c r="H475" s="1282"/>
      <c r="I475" s="1282"/>
      <c r="J475" s="1282" t="s">
        <v>903</v>
      </c>
      <c r="K475" s="1282"/>
      <c r="L475" s="1282"/>
      <c r="AC475" s="1342"/>
      <c r="AH475" s="274"/>
    </row>
    <row r="476">
      <c r="B476" s="1282"/>
      <c r="C476" s="1282"/>
      <c r="D476" s="1282"/>
      <c r="E476" s="351"/>
      <c r="F476" s="1282"/>
      <c r="G476" s="1282"/>
      <c r="H476" s="1282"/>
      <c r="I476" s="1282"/>
      <c r="J476" s="1282" t="s">
        <v>903</v>
      </c>
      <c r="K476" s="1282"/>
      <c r="L476" s="1282"/>
      <c r="AC476" s="1342"/>
      <c r="AH476" s="274"/>
    </row>
    <row r="477">
      <c r="B477" s="1282"/>
      <c r="C477" s="1282"/>
      <c r="D477" s="1282"/>
      <c r="E477" s="351"/>
      <c r="F477" s="1282"/>
      <c r="G477" s="1282"/>
      <c r="H477" s="1282"/>
      <c r="I477" s="1282"/>
      <c r="J477" s="1282" t="s">
        <v>903</v>
      </c>
      <c r="K477" s="1282"/>
      <c r="L477" s="1282"/>
      <c r="AC477" s="1342"/>
      <c r="AH477" s="274"/>
    </row>
    <row r="478">
      <c r="B478" s="1282"/>
      <c r="C478" s="1282"/>
      <c r="D478" s="1282"/>
      <c r="E478" s="351"/>
      <c r="F478" s="1282"/>
      <c r="G478" s="1282"/>
      <c r="H478" s="1282"/>
      <c r="I478" s="1282"/>
      <c r="J478" s="1282" t="s">
        <v>903</v>
      </c>
      <c r="K478" s="1282"/>
      <c r="L478" s="1282"/>
      <c r="AC478" s="1342"/>
      <c r="AH478" s="274"/>
    </row>
    <row r="479">
      <c r="B479" s="1282"/>
      <c r="C479" s="1282"/>
      <c r="D479" s="1282"/>
      <c r="E479" s="351"/>
      <c r="F479" s="1282"/>
      <c r="G479" s="1282"/>
      <c r="H479" s="1282"/>
      <c r="I479" s="1282"/>
      <c r="J479" s="1282" t="s">
        <v>903</v>
      </c>
      <c r="K479" s="1282"/>
      <c r="L479" s="1282"/>
      <c r="AC479" s="1342"/>
      <c r="AH479" s="274"/>
    </row>
    <row r="480">
      <c r="B480" s="1282"/>
      <c r="C480" s="1282"/>
      <c r="D480" s="1282"/>
      <c r="E480" s="351"/>
      <c r="F480" s="1282"/>
      <c r="G480" s="1282"/>
      <c r="H480" s="1282"/>
      <c r="I480" s="1282"/>
      <c r="J480" s="1282" t="s">
        <v>903</v>
      </c>
      <c r="K480" s="1282"/>
      <c r="L480" s="1282"/>
      <c r="AC480" s="1342"/>
      <c r="AH480" s="274"/>
    </row>
    <row r="481">
      <c r="B481" s="1282"/>
      <c r="C481" s="1282"/>
      <c r="D481" s="1282"/>
      <c r="E481" s="351"/>
      <c r="F481" s="1282"/>
      <c r="G481" s="1282"/>
      <c r="H481" s="1282"/>
      <c r="I481" s="1282"/>
      <c r="J481" s="1282" t="s">
        <v>903</v>
      </c>
      <c r="K481" s="1282"/>
      <c r="L481" s="1282"/>
      <c r="AC481" s="1342"/>
      <c r="AH481" s="274"/>
    </row>
    <row r="482">
      <c r="B482" s="1282"/>
      <c r="C482" s="1282"/>
      <c r="D482" s="1282"/>
      <c r="E482" s="351"/>
      <c r="F482" s="1282"/>
      <c r="G482" s="1282"/>
      <c r="H482" s="1282"/>
      <c r="I482" s="1282"/>
      <c r="J482" s="1282" t="s">
        <v>903</v>
      </c>
      <c r="K482" s="1282"/>
      <c r="L482" s="1282"/>
      <c r="AC482" s="1342"/>
      <c r="AH482" s="274"/>
    </row>
    <row r="483">
      <c r="B483" s="1282"/>
      <c r="C483" s="1282"/>
      <c r="D483" s="1282"/>
      <c r="E483" s="351"/>
      <c r="F483" s="1282"/>
      <c r="G483" s="1282"/>
      <c r="H483" s="1282"/>
      <c r="I483" s="1282"/>
      <c r="J483" s="1282" t="s">
        <v>903</v>
      </c>
      <c r="K483" s="1282"/>
      <c r="L483" s="1282"/>
      <c r="AC483" s="1342"/>
      <c r="AH483" s="274"/>
    </row>
    <row r="484">
      <c r="B484" s="1282"/>
      <c r="C484" s="1282"/>
      <c r="D484" s="1282"/>
      <c r="E484" s="351"/>
      <c r="F484" s="1282"/>
      <c r="G484" s="1282"/>
      <c r="H484" s="1282"/>
      <c r="I484" s="1282"/>
      <c r="J484" s="1282" t="s">
        <v>903</v>
      </c>
      <c r="K484" s="1282"/>
      <c r="L484" s="1282"/>
      <c r="AC484" s="1342"/>
      <c r="AH484" s="274"/>
    </row>
    <row r="485">
      <c r="B485" s="1282"/>
      <c r="C485" s="1282"/>
      <c r="D485" s="1282"/>
      <c r="E485" s="351"/>
      <c r="F485" s="1282"/>
      <c r="G485" s="1282"/>
      <c r="H485" s="1282"/>
      <c r="I485" s="1282"/>
      <c r="J485" s="1282" t="s">
        <v>903</v>
      </c>
      <c r="K485" s="1282"/>
      <c r="L485" s="1282"/>
      <c r="AC485" s="1342"/>
      <c r="AH485" s="274"/>
    </row>
    <row r="486">
      <c r="B486" s="1282"/>
      <c r="C486" s="1282"/>
      <c r="D486" s="1282"/>
      <c r="E486" s="351"/>
      <c r="F486" s="1282"/>
      <c r="G486" s="1282"/>
      <c r="H486" s="1282"/>
      <c r="I486" s="1282"/>
      <c r="J486" s="1282" t="s">
        <v>903</v>
      </c>
      <c r="K486" s="1282"/>
      <c r="L486" s="1282"/>
      <c r="AC486" s="1342"/>
      <c r="AH486" s="274"/>
    </row>
    <row r="487">
      <c r="B487" s="1282"/>
      <c r="C487" s="1282"/>
      <c r="D487" s="1282"/>
      <c r="E487" s="351"/>
      <c r="F487" s="1282"/>
      <c r="G487" s="1282"/>
      <c r="H487" s="1282"/>
      <c r="I487" s="1282"/>
      <c r="J487" s="1282" t="s">
        <v>903</v>
      </c>
      <c r="K487" s="1282"/>
      <c r="L487" s="1282"/>
      <c r="AC487" s="1342"/>
      <c r="AH487" s="274"/>
    </row>
    <row r="488">
      <c r="B488" s="1282"/>
      <c r="C488" s="1282"/>
      <c r="D488" s="1282"/>
      <c r="E488" s="351"/>
      <c r="F488" s="1282"/>
      <c r="G488" s="1282"/>
      <c r="H488" s="1282"/>
      <c r="I488" s="1282"/>
      <c r="J488" s="1282" t="s">
        <v>903</v>
      </c>
      <c r="K488" s="1282"/>
      <c r="L488" s="1282"/>
      <c r="AC488" s="1342"/>
      <c r="AH488" s="274"/>
    </row>
    <row r="489">
      <c r="B489" s="1282"/>
      <c r="C489" s="1282"/>
      <c r="D489" s="1282"/>
      <c r="E489" s="351"/>
      <c r="F489" s="1282"/>
      <c r="G489" s="1282"/>
      <c r="H489" s="1282"/>
      <c r="I489" s="1282"/>
      <c r="J489" s="1282" t="s">
        <v>903</v>
      </c>
      <c r="K489" s="1282"/>
      <c r="L489" s="1282"/>
      <c r="AC489" s="1342"/>
      <c r="AH489" s="274"/>
    </row>
    <row r="490">
      <c r="B490" s="1282"/>
      <c r="C490" s="1282"/>
      <c r="D490" s="1282"/>
      <c r="E490" s="351"/>
      <c r="F490" s="1282"/>
      <c r="G490" s="1282"/>
      <c r="H490" s="1282"/>
      <c r="I490" s="1282"/>
      <c r="J490" s="1282" t="s">
        <v>903</v>
      </c>
      <c r="K490" s="1282"/>
      <c r="L490" s="1282"/>
      <c r="AC490" s="1342"/>
      <c r="AH490" s="274"/>
    </row>
    <row r="491">
      <c r="B491" s="1282"/>
      <c r="C491" s="1282"/>
      <c r="D491" s="1282"/>
      <c r="E491" s="351"/>
      <c r="F491" s="1282"/>
      <c r="G491" s="1282"/>
      <c r="H491" s="1282"/>
      <c r="I491" s="1282"/>
      <c r="J491" s="1282" t="s">
        <v>903</v>
      </c>
      <c r="K491" s="1282"/>
      <c r="L491" s="1282"/>
      <c r="AC491" s="1342"/>
      <c r="AH491" s="274"/>
    </row>
    <row r="492">
      <c r="B492" s="1282"/>
      <c r="C492" s="1282"/>
      <c r="D492" s="1282"/>
      <c r="E492" s="351"/>
      <c r="F492" s="1282"/>
      <c r="G492" s="1282"/>
      <c r="H492" s="1282"/>
      <c r="I492" s="1282"/>
      <c r="J492" s="1282" t="s">
        <v>903</v>
      </c>
      <c r="K492" s="1282"/>
      <c r="L492" s="1282"/>
      <c r="AC492" s="1342"/>
      <c r="AH492" s="274"/>
    </row>
    <row r="493">
      <c r="B493" s="1282"/>
      <c r="C493" s="1282"/>
      <c r="D493" s="1282"/>
      <c r="E493" s="351"/>
      <c r="F493" s="1282"/>
      <c r="G493" s="1282"/>
      <c r="H493" s="1282"/>
      <c r="I493" s="1282"/>
      <c r="J493" s="1282" t="s">
        <v>903</v>
      </c>
      <c r="K493" s="1282"/>
      <c r="L493" s="1282"/>
      <c r="AC493" s="1342"/>
      <c r="AH493" s="274"/>
    </row>
    <row r="494">
      <c r="B494" s="1282"/>
      <c r="C494" s="1282"/>
      <c r="D494" s="1282"/>
      <c r="E494" s="351"/>
      <c r="F494" s="1282"/>
      <c r="G494" s="1282"/>
      <c r="H494" s="1282"/>
      <c r="I494" s="1282"/>
      <c r="J494" s="1282" t="s">
        <v>903</v>
      </c>
      <c r="K494" s="1282"/>
      <c r="L494" s="1282"/>
      <c r="AC494" s="1342"/>
      <c r="AH494" s="274"/>
    </row>
    <row r="495">
      <c r="B495" s="1282"/>
      <c r="C495" s="1282"/>
      <c r="D495" s="1282"/>
      <c r="E495" s="351"/>
      <c r="F495" s="1282"/>
      <c r="G495" s="1282"/>
      <c r="H495" s="1282"/>
      <c r="I495" s="1282"/>
      <c r="J495" s="1282" t="s">
        <v>903</v>
      </c>
      <c r="K495" s="1282"/>
      <c r="L495" s="1282"/>
      <c r="AC495" s="1342"/>
      <c r="AH495" s="274"/>
    </row>
    <row r="496">
      <c r="B496" s="1282"/>
      <c r="C496" s="1282"/>
      <c r="D496" s="1282"/>
      <c r="E496" s="351"/>
      <c r="F496" s="1282"/>
      <c r="G496" s="1282"/>
      <c r="H496" s="1282"/>
      <c r="I496" s="1282"/>
      <c r="J496" s="1282" t="s">
        <v>903</v>
      </c>
      <c r="K496" s="1282"/>
      <c r="L496" s="1282"/>
      <c r="AC496" s="1342"/>
      <c r="AH496" s="274"/>
    </row>
    <row r="497">
      <c r="B497" s="1282"/>
      <c r="C497" s="1282"/>
      <c r="D497" s="1282"/>
      <c r="E497" s="351"/>
      <c r="F497" s="1282"/>
      <c r="G497" s="1282"/>
      <c r="H497" s="1282"/>
      <c r="I497" s="1282"/>
      <c r="J497" s="1282" t="s">
        <v>903</v>
      </c>
      <c r="K497" s="1282"/>
      <c r="L497" s="1282"/>
      <c r="AC497" s="1342"/>
      <c r="AH497" s="274"/>
    </row>
    <row r="498">
      <c r="B498" s="1282"/>
      <c r="C498" s="1282"/>
      <c r="D498" s="1282"/>
      <c r="E498" s="351"/>
      <c r="F498" s="1282"/>
      <c r="G498" s="1282"/>
      <c r="H498" s="1282"/>
      <c r="I498" s="1282"/>
      <c r="J498" s="1282" t="s">
        <v>903</v>
      </c>
      <c r="K498" s="1282"/>
      <c r="L498" s="1282"/>
      <c r="AC498" s="1342"/>
      <c r="AH498" s="274"/>
    </row>
    <row r="499">
      <c r="B499" s="1282"/>
      <c r="C499" s="1282"/>
      <c r="D499" s="1282"/>
      <c r="E499" s="351"/>
      <c r="F499" s="1282"/>
      <c r="G499" s="1282"/>
      <c r="H499" s="1282"/>
      <c r="I499" s="1282"/>
      <c r="J499" s="1282" t="s">
        <v>903</v>
      </c>
      <c r="K499" s="1282"/>
      <c r="L499" s="1282"/>
      <c r="AC499" s="1342"/>
      <c r="AH499" s="274"/>
    </row>
    <row r="500">
      <c r="B500" s="1282"/>
      <c r="C500" s="1282"/>
      <c r="D500" s="1282"/>
      <c r="E500" s="351"/>
      <c r="F500" s="1282"/>
      <c r="G500" s="1282"/>
      <c r="H500" s="1282"/>
      <c r="I500" s="1282"/>
      <c r="J500" s="1282" t="s">
        <v>903</v>
      </c>
      <c r="K500" s="1282"/>
      <c r="L500" s="1282"/>
      <c r="AC500" s="1342"/>
      <c r="AH500" s="274"/>
    </row>
    <row r="501">
      <c r="B501" s="1282"/>
      <c r="C501" s="1282"/>
      <c r="D501" s="1282"/>
      <c r="E501" s="351"/>
      <c r="F501" s="1282"/>
      <c r="G501" s="1282"/>
      <c r="H501" s="1282"/>
      <c r="I501" s="1282"/>
      <c r="J501" s="1282" t="s">
        <v>903</v>
      </c>
      <c r="K501" s="1282"/>
      <c r="L501" s="1282"/>
      <c r="AC501" s="1342"/>
      <c r="AH501" s="274"/>
    </row>
    <row r="502">
      <c r="B502" s="1282"/>
      <c r="C502" s="1282"/>
      <c r="D502" s="1282"/>
      <c r="E502" s="351"/>
      <c r="F502" s="1282"/>
      <c r="G502" s="1282"/>
      <c r="H502" s="1282"/>
      <c r="I502" s="1282"/>
      <c r="J502" s="1282" t="s">
        <v>903</v>
      </c>
      <c r="K502" s="1282"/>
      <c r="L502" s="1282"/>
      <c r="AC502" s="1342"/>
      <c r="AH502" s="274"/>
    </row>
    <row r="503">
      <c r="B503" s="1282"/>
      <c r="C503" s="1282"/>
      <c r="D503" s="1282"/>
      <c r="E503" s="351"/>
      <c r="F503" s="1282"/>
      <c r="G503" s="1282"/>
      <c r="H503" s="1282"/>
      <c r="I503" s="1282"/>
      <c r="J503" s="1282" t="s">
        <v>903</v>
      </c>
      <c r="K503" s="1282"/>
      <c r="L503" s="1282"/>
      <c r="AC503" s="1342"/>
      <c r="AH503" s="274"/>
    </row>
    <row r="504">
      <c r="B504" s="1282"/>
      <c r="C504" s="1282"/>
      <c r="D504" s="1282"/>
      <c r="E504" s="351"/>
      <c r="F504" s="1282"/>
      <c r="G504" s="1282"/>
      <c r="H504" s="1282"/>
      <c r="I504" s="1282"/>
      <c r="J504" s="1282" t="s">
        <v>903</v>
      </c>
      <c r="K504" s="1282"/>
      <c r="L504" s="1282"/>
      <c r="AC504" s="1342"/>
      <c r="AH504" s="274"/>
    </row>
    <row r="505">
      <c r="B505" s="1282"/>
      <c r="C505" s="1282"/>
      <c r="D505" s="1282"/>
      <c r="E505" s="351"/>
      <c r="F505" s="1282"/>
      <c r="G505" s="1282"/>
      <c r="H505" s="1282"/>
      <c r="I505" s="1282"/>
      <c r="J505" s="1282" t="s">
        <v>903</v>
      </c>
      <c r="K505" s="1282"/>
      <c r="L505" s="1282"/>
      <c r="AC505" s="1342"/>
      <c r="AH505" s="274"/>
    </row>
    <row r="506">
      <c r="B506" s="1282"/>
      <c r="C506" s="1282"/>
      <c r="D506" s="1282"/>
      <c r="E506" s="351"/>
      <c r="F506" s="1282"/>
      <c r="G506" s="1282"/>
      <c r="H506" s="1282"/>
      <c r="I506" s="1282"/>
      <c r="J506" s="1282" t="s">
        <v>903</v>
      </c>
      <c r="K506" s="1282"/>
      <c r="L506" s="1282"/>
      <c r="AC506" s="1342"/>
      <c r="AH506" s="274"/>
    </row>
    <row r="507">
      <c r="B507" s="1282"/>
      <c r="C507" s="1282"/>
      <c r="D507" s="1282"/>
      <c r="E507" s="351"/>
      <c r="F507" s="1282"/>
      <c r="G507" s="1282"/>
      <c r="H507" s="1282"/>
      <c r="I507" s="1282"/>
      <c r="J507" s="1282" t="s">
        <v>903</v>
      </c>
      <c r="K507" s="1282"/>
      <c r="L507" s="1282"/>
      <c r="AC507" s="1342"/>
      <c r="AH507" s="274"/>
    </row>
    <row r="508">
      <c r="B508" s="1282"/>
      <c r="C508" s="1282"/>
      <c r="D508" s="1282"/>
      <c r="E508" s="351"/>
      <c r="F508" s="1282"/>
      <c r="G508" s="1282"/>
      <c r="H508" s="1282"/>
      <c r="I508" s="1282"/>
      <c r="J508" s="1282" t="s">
        <v>903</v>
      </c>
      <c r="K508" s="1282"/>
      <c r="L508" s="1282"/>
      <c r="AC508" s="1342"/>
      <c r="AH508" s="274"/>
    </row>
    <row r="509">
      <c r="B509" s="1282"/>
      <c r="C509" s="1282"/>
      <c r="D509" s="1282"/>
      <c r="E509" s="351"/>
      <c r="F509" s="1282"/>
      <c r="G509" s="1282"/>
      <c r="H509" s="1282"/>
      <c r="I509" s="1282"/>
      <c r="J509" s="1282" t="s">
        <v>903</v>
      </c>
      <c r="K509" s="1282"/>
      <c r="L509" s="1282"/>
      <c r="AC509" s="1342"/>
      <c r="AH509" s="274"/>
    </row>
    <row r="510">
      <c r="B510" s="1282"/>
      <c r="C510" s="1282"/>
      <c r="D510" s="1282"/>
      <c r="E510" s="351"/>
      <c r="F510" s="1282"/>
      <c r="G510" s="1282"/>
      <c r="H510" s="1282"/>
      <c r="I510" s="1282"/>
      <c r="J510" s="1282" t="s">
        <v>903</v>
      </c>
      <c r="K510" s="1282"/>
      <c r="L510" s="1282"/>
      <c r="AC510" s="1342"/>
      <c r="AH510" s="274"/>
    </row>
    <row r="511">
      <c r="B511" s="1282"/>
      <c r="C511" s="1282"/>
      <c r="D511" s="1282"/>
      <c r="E511" s="351"/>
      <c r="F511" s="1282"/>
      <c r="G511" s="1282"/>
      <c r="H511" s="1282"/>
      <c r="I511" s="1282"/>
      <c r="J511" s="1282" t="s">
        <v>903</v>
      </c>
      <c r="K511" s="1282"/>
      <c r="L511" s="1282"/>
      <c r="AC511" s="1342"/>
      <c r="AH511" s="274"/>
    </row>
    <row r="512">
      <c r="B512" s="1282"/>
      <c r="C512" s="1282"/>
      <c r="D512" s="1282"/>
      <c r="E512" s="351"/>
      <c r="F512" s="1282"/>
      <c r="G512" s="1282"/>
      <c r="H512" s="1282"/>
      <c r="I512" s="1282"/>
      <c r="J512" s="1282" t="s">
        <v>903</v>
      </c>
      <c r="K512" s="1282"/>
      <c r="L512" s="1282"/>
      <c r="AC512" s="1342"/>
      <c r="AH512" s="274"/>
    </row>
    <row r="513">
      <c r="B513" s="1282"/>
      <c r="C513" s="1282"/>
      <c r="D513" s="1282"/>
      <c r="E513" s="351"/>
      <c r="F513" s="1282"/>
      <c r="G513" s="1282"/>
      <c r="H513" s="1282"/>
      <c r="I513" s="1282"/>
      <c r="J513" s="1282" t="s">
        <v>903</v>
      </c>
      <c r="K513" s="1282"/>
      <c r="L513" s="1282"/>
      <c r="AC513" s="1342"/>
      <c r="AH513" s="274"/>
    </row>
    <row r="514">
      <c r="B514" s="1282"/>
      <c r="C514" s="1282"/>
      <c r="D514" s="1282"/>
      <c r="E514" s="351"/>
      <c r="F514" s="1282"/>
      <c r="G514" s="1282"/>
      <c r="H514" s="1282"/>
      <c r="I514" s="1282"/>
      <c r="J514" s="1282" t="s">
        <v>903</v>
      </c>
      <c r="K514" s="1282"/>
      <c r="L514" s="1282"/>
      <c r="AC514" s="1342"/>
      <c r="AH514" s="274"/>
    </row>
    <row r="515">
      <c r="B515" s="1282"/>
      <c r="C515" s="1282"/>
      <c r="D515" s="1282"/>
      <c r="E515" s="351"/>
      <c r="F515" s="1282"/>
      <c r="G515" s="1282"/>
      <c r="H515" s="1282"/>
      <c r="I515" s="1282"/>
      <c r="J515" s="1282" t="s">
        <v>903</v>
      </c>
      <c r="K515" s="1282"/>
      <c r="L515" s="1282"/>
      <c r="AC515" s="1342"/>
      <c r="AH515" s="274"/>
    </row>
    <row r="516">
      <c r="B516" s="1282"/>
      <c r="C516" s="1282"/>
      <c r="D516" s="1282"/>
      <c r="E516" s="351"/>
      <c r="F516" s="1282"/>
      <c r="G516" s="1282"/>
      <c r="H516" s="1282"/>
      <c r="I516" s="1282"/>
      <c r="J516" s="1282" t="s">
        <v>903</v>
      </c>
      <c r="K516" s="1282"/>
      <c r="L516" s="1282"/>
      <c r="AC516" s="1342"/>
      <c r="AH516" s="274"/>
    </row>
    <row r="517">
      <c r="B517" s="1282"/>
      <c r="C517" s="1282"/>
      <c r="D517" s="1282"/>
      <c r="E517" s="351"/>
      <c r="F517" s="1282"/>
      <c r="G517" s="1282"/>
      <c r="H517" s="1282"/>
      <c r="I517" s="1282"/>
      <c r="J517" s="1282" t="s">
        <v>903</v>
      </c>
      <c r="K517" s="1282"/>
      <c r="L517" s="1282"/>
      <c r="AC517" s="1342"/>
      <c r="AH517" s="274"/>
    </row>
    <row r="518">
      <c r="B518" s="1282"/>
      <c r="C518" s="1282"/>
      <c r="D518" s="1282"/>
      <c r="E518" s="351"/>
      <c r="F518" s="1282"/>
      <c r="G518" s="1282"/>
      <c r="H518" s="1282"/>
      <c r="I518" s="1282"/>
      <c r="J518" s="1282" t="s">
        <v>903</v>
      </c>
      <c r="K518" s="1282"/>
      <c r="L518" s="1282"/>
      <c r="AC518" s="1342"/>
      <c r="AH518" s="274"/>
    </row>
    <row r="519">
      <c r="B519" s="1282"/>
      <c r="C519" s="1282"/>
      <c r="D519" s="1282"/>
      <c r="E519" s="351"/>
      <c r="F519" s="1282"/>
      <c r="G519" s="1282"/>
      <c r="H519" s="1282"/>
      <c r="I519" s="1282"/>
      <c r="J519" s="1282" t="s">
        <v>903</v>
      </c>
      <c r="K519" s="1282"/>
      <c r="L519" s="1282"/>
      <c r="AC519" s="1342"/>
      <c r="AH519" s="274"/>
    </row>
    <row r="520">
      <c r="B520" s="1282"/>
      <c r="C520" s="1282"/>
      <c r="D520" s="1282"/>
      <c r="E520" s="351"/>
      <c r="F520" s="1282"/>
      <c r="G520" s="1282"/>
      <c r="H520" s="1282"/>
      <c r="I520" s="1282"/>
      <c r="J520" s="1282" t="s">
        <v>903</v>
      </c>
      <c r="K520" s="1282"/>
      <c r="L520" s="1282"/>
      <c r="AC520" s="1342"/>
      <c r="AH520" s="274"/>
    </row>
    <row r="521">
      <c r="B521" s="1282"/>
      <c r="C521" s="1282"/>
      <c r="D521" s="1282"/>
      <c r="E521" s="351"/>
      <c r="F521" s="1282"/>
      <c r="G521" s="1282"/>
      <c r="H521" s="1282"/>
      <c r="I521" s="1282"/>
      <c r="J521" s="1282" t="s">
        <v>903</v>
      </c>
      <c r="K521" s="1282"/>
      <c r="L521" s="1282"/>
      <c r="AC521" s="1342"/>
      <c r="AH521" s="274"/>
    </row>
    <row r="522">
      <c r="B522" s="1282"/>
      <c r="C522" s="1282"/>
      <c r="D522" s="1282"/>
      <c r="E522" s="351"/>
      <c r="F522" s="1282"/>
      <c r="G522" s="1282"/>
      <c r="H522" s="1282"/>
      <c r="I522" s="1282"/>
      <c r="J522" s="1282" t="s">
        <v>903</v>
      </c>
      <c r="K522" s="1282"/>
      <c r="L522" s="1282"/>
      <c r="AC522" s="1342"/>
      <c r="AH522" s="274"/>
    </row>
    <row r="523">
      <c r="B523" s="1282"/>
      <c r="C523" s="1282"/>
      <c r="D523" s="1282"/>
      <c r="E523" s="351"/>
      <c r="F523" s="1282"/>
      <c r="G523" s="1282"/>
      <c r="H523" s="1282"/>
      <c r="I523" s="1282"/>
      <c r="J523" s="1282" t="s">
        <v>903</v>
      </c>
      <c r="K523" s="1282"/>
      <c r="L523" s="1282"/>
      <c r="AC523" s="1342"/>
      <c r="AH523" s="274"/>
    </row>
    <row r="524">
      <c r="B524" s="1282"/>
      <c r="C524" s="1282"/>
      <c r="D524" s="1282"/>
      <c r="E524" s="351"/>
      <c r="F524" s="1282"/>
      <c r="G524" s="1282"/>
      <c r="H524" s="1282"/>
      <c r="I524" s="1282"/>
      <c r="J524" s="1282" t="s">
        <v>903</v>
      </c>
      <c r="K524" s="1282"/>
      <c r="L524" s="1282"/>
      <c r="AC524" s="1342"/>
      <c r="AH524" s="274"/>
    </row>
    <row r="525">
      <c r="B525" s="1282"/>
      <c r="C525" s="1282"/>
      <c r="D525" s="1282"/>
      <c r="E525" s="351"/>
      <c r="F525" s="1282"/>
      <c r="G525" s="1282"/>
      <c r="H525" s="1282"/>
      <c r="I525" s="1282"/>
      <c r="J525" s="1282" t="s">
        <v>903</v>
      </c>
      <c r="K525" s="1282"/>
      <c r="L525" s="1282"/>
      <c r="AC525" s="1342"/>
      <c r="AH525" s="274"/>
    </row>
    <row r="526">
      <c r="B526" s="1282"/>
      <c r="C526" s="1282"/>
      <c r="D526" s="1282"/>
      <c r="E526" s="351"/>
      <c r="F526" s="1282"/>
      <c r="G526" s="1282"/>
      <c r="H526" s="1282"/>
      <c r="I526" s="1282"/>
      <c r="J526" s="1282" t="s">
        <v>903</v>
      </c>
      <c r="K526" s="1282"/>
      <c r="L526" s="1282"/>
      <c r="AC526" s="1342"/>
      <c r="AH526" s="274"/>
    </row>
    <row r="527">
      <c r="B527" s="1282"/>
      <c r="C527" s="1282"/>
      <c r="D527" s="1282"/>
      <c r="E527" s="351"/>
      <c r="F527" s="1282"/>
      <c r="G527" s="1282"/>
      <c r="H527" s="1282"/>
      <c r="I527" s="1282"/>
      <c r="J527" s="1282" t="s">
        <v>903</v>
      </c>
      <c r="K527" s="1282"/>
      <c r="L527" s="1282"/>
      <c r="AC527" s="1342"/>
      <c r="AH527" s="274"/>
    </row>
    <row r="528">
      <c r="B528" s="1282"/>
      <c r="C528" s="1282"/>
      <c r="D528" s="1282"/>
      <c r="E528" s="351"/>
      <c r="F528" s="1282"/>
      <c r="G528" s="1282"/>
      <c r="H528" s="1282"/>
      <c r="I528" s="1282"/>
      <c r="J528" s="1282" t="s">
        <v>903</v>
      </c>
      <c r="K528" s="1282"/>
      <c r="L528" s="1282"/>
      <c r="AC528" s="1342"/>
      <c r="AH528" s="274"/>
    </row>
    <row r="529">
      <c r="B529" s="1282"/>
      <c r="C529" s="1282"/>
      <c r="D529" s="1282"/>
      <c r="E529" s="351"/>
      <c r="F529" s="1282"/>
      <c r="G529" s="1282"/>
      <c r="H529" s="1282"/>
      <c r="I529" s="1282"/>
      <c r="J529" s="1282" t="s">
        <v>903</v>
      </c>
      <c r="K529" s="1282"/>
      <c r="L529" s="1282"/>
      <c r="AC529" s="1342"/>
      <c r="AH529" s="274"/>
    </row>
    <row r="530">
      <c r="B530" s="1282"/>
      <c r="C530" s="1282"/>
      <c r="D530" s="1282"/>
      <c r="E530" s="351"/>
      <c r="F530" s="1282"/>
      <c r="G530" s="1282"/>
      <c r="H530" s="1282"/>
      <c r="I530" s="1282"/>
      <c r="J530" s="1282" t="s">
        <v>903</v>
      </c>
      <c r="K530" s="1282"/>
      <c r="L530" s="1282"/>
      <c r="AC530" s="1342"/>
      <c r="AH530" s="274"/>
    </row>
    <row r="531">
      <c r="B531" s="1282"/>
      <c r="C531" s="1282"/>
      <c r="D531" s="1282"/>
      <c r="E531" s="351"/>
      <c r="F531" s="1282"/>
      <c r="G531" s="1282"/>
      <c r="H531" s="1282"/>
      <c r="I531" s="1282"/>
      <c r="J531" s="1282" t="s">
        <v>903</v>
      </c>
      <c r="K531" s="1282"/>
      <c r="L531" s="1282"/>
      <c r="AC531" s="1342"/>
      <c r="AH531" s="274"/>
    </row>
    <row r="532">
      <c r="B532" s="1282"/>
      <c r="C532" s="1282"/>
      <c r="D532" s="1282"/>
      <c r="E532" s="351"/>
      <c r="F532" s="1282"/>
      <c r="G532" s="1282"/>
      <c r="H532" s="1282"/>
      <c r="I532" s="1282"/>
      <c r="J532" s="1282" t="s">
        <v>903</v>
      </c>
      <c r="K532" s="1282"/>
      <c r="L532" s="1282"/>
      <c r="AC532" s="1342"/>
      <c r="AH532" s="274"/>
    </row>
    <row r="533">
      <c r="B533" s="1282"/>
      <c r="C533" s="1282"/>
      <c r="D533" s="1282"/>
      <c r="E533" s="351"/>
      <c r="F533" s="1282"/>
      <c r="G533" s="1282"/>
      <c r="H533" s="1282"/>
      <c r="I533" s="1282"/>
      <c r="J533" s="1282" t="s">
        <v>903</v>
      </c>
      <c r="K533" s="1282"/>
      <c r="L533" s="1282"/>
      <c r="AC533" s="1342"/>
      <c r="AH533" s="274"/>
    </row>
    <row r="534">
      <c r="B534" s="1282"/>
      <c r="C534" s="1282"/>
      <c r="D534" s="1282"/>
      <c r="E534" s="351"/>
      <c r="F534" s="1282"/>
      <c r="G534" s="1282"/>
      <c r="H534" s="1282"/>
      <c r="I534" s="1282"/>
      <c r="J534" s="1282" t="s">
        <v>903</v>
      </c>
      <c r="K534" s="1282"/>
      <c r="L534" s="1282"/>
      <c r="AC534" s="1342"/>
      <c r="AH534" s="274"/>
    </row>
    <row r="535">
      <c r="B535" s="1282"/>
      <c r="C535" s="1282"/>
      <c r="D535" s="1282"/>
      <c r="E535" s="351"/>
      <c r="F535" s="1282"/>
      <c r="G535" s="1282"/>
      <c r="H535" s="1282"/>
      <c r="I535" s="1282"/>
      <c r="J535" s="1282" t="s">
        <v>903</v>
      </c>
      <c r="K535" s="1282"/>
      <c r="L535" s="1282"/>
      <c r="AC535" s="1342"/>
      <c r="AH535" s="274"/>
    </row>
    <row r="536">
      <c r="B536" s="1282"/>
      <c r="C536" s="1282"/>
      <c r="D536" s="1282"/>
      <c r="E536" s="351"/>
      <c r="F536" s="1282"/>
      <c r="G536" s="1282"/>
      <c r="H536" s="1282"/>
      <c r="I536" s="1282"/>
      <c r="J536" s="1282" t="s">
        <v>903</v>
      </c>
      <c r="K536" s="1282"/>
      <c r="L536" s="1282"/>
      <c r="AC536" s="1342"/>
      <c r="AH536" s="274"/>
    </row>
    <row r="537">
      <c r="B537" s="1282"/>
      <c r="C537" s="1282"/>
      <c r="D537" s="1282"/>
      <c r="E537" s="351"/>
      <c r="F537" s="1282"/>
      <c r="G537" s="1282"/>
      <c r="H537" s="1282"/>
      <c r="I537" s="1282"/>
      <c r="J537" s="1282" t="s">
        <v>903</v>
      </c>
      <c r="K537" s="1282"/>
      <c r="L537" s="1282"/>
      <c r="AC537" s="1342"/>
      <c r="AH537" s="274"/>
    </row>
    <row r="538">
      <c r="B538" s="1282"/>
      <c r="C538" s="1282"/>
      <c r="D538" s="1282"/>
      <c r="E538" s="351"/>
      <c r="F538" s="1282"/>
      <c r="G538" s="1282"/>
      <c r="H538" s="1282"/>
      <c r="I538" s="1282"/>
      <c r="J538" s="1282" t="s">
        <v>903</v>
      </c>
      <c r="K538" s="1282"/>
      <c r="L538" s="1282"/>
      <c r="AC538" s="1342"/>
      <c r="AH538" s="274"/>
    </row>
    <row r="539">
      <c r="B539" s="1282"/>
      <c r="C539" s="1282"/>
      <c r="D539" s="1282"/>
      <c r="E539" s="351"/>
      <c r="F539" s="1282"/>
      <c r="G539" s="1282"/>
      <c r="H539" s="1282"/>
      <c r="I539" s="1282"/>
      <c r="J539" s="1282" t="s">
        <v>903</v>
      </c>
      <c r="K539" s="1282"/>
      <c r="L539" s="1282"/>
      <c r="AC539" s="1342"/>
      <c r="AH539" s="274"/>
    </row>
    <row r="540">
      <c r="B540" s="1282"/>
      <c r="C540" s="1282"/>
      <c r="D540" s="1282"/>
      <c r="E540" s="351"/>
      <c r="F540" s="1282"/>
      <c r="G540" s="1282"/>
      <c r="H540" s="1282"/>
      <c r="I540" s="1282"/>
      <c r="J540" s="1282" t="s">
        <v>903</v>
      </c>
      <c r="K540" s="1282"/>
      <c r="L540" s="1282"/>
      <c r="AC540" s="1342"/>
      <c r="AH540" s="274"/>
    </row>
    <row r="541">
      <c r="B541" s="1282"/>
      <c r="C541" s="1282"/>
      <c r="D541" s="1282"/>
      <c r="E541" s="351"/>
      <c r="F541" s="1282"/>
      <c r="G541" s="1282"/>
      <c r="H541" s="1282"/>
      <c r="I541" s="1282"/>
      <c r="J541" s="1282" t="s">
        <v>903</v>
      </c>
      <c r="K541" s="1282"/>
      <c r="L541" s="1282"/>
      <c r="AC541" s="1342"/>
      <c r="AH541" s="274"/>
    </row>
    <row r="542">
      <c r="B542" s="1282"/>
      <c r="C542" s="1282"/>
      <c r="D542" s="1282"/>
      <c r="E542" s="351"/>
      <c r="F542" s="1282"/>
      <c r="G542" s="1282"/>
      <c r="H542" s="1282"/>
      <c r="I542" s="1282"/>
      <c r="J542" s="1282" t="s">
        <v>903</v>
      </c>
      <c r="K542" s="1282"/>
      <c r="L542" s="1282"/>
      <c r="AC542" s="1342"/>
      <c r="AH542" s="274"/>
    </row>
    <row r="543">
      <c r="B543" s="1282"/>
      <c r="C543" s="1282"/>
      <c r="D543" s="1282"/>
      <c r="E543" s="351"/>
      <c r="F543" s="1282"/>
      <c r="G543" s="1282"/>
      <c r="H543" s="1282"/>
      <c r="I543" s="1282"/>
      <c r="J543" s="1282" t="s">
        <v>903</v>
      </c>
      <c r="K543" s="1282"/>
      <c r="L543" s="1282"/>
      <c r="AC543" s="1342"/>
      <c r="AH543" s="274"/>
    </row>
    <row r="544">
      <c r="B544" s="1282"/>
      <c r="C544" s="1282"/>
      <c r="D544" s="1282"/>
      <c r="E544" s="351"/>
      <c r="F544" s="1282"/>
      <c r="G544" s="1282"/>
      <c r="H544" s="1282"/>
      <c r="I544" s="1282"/>
      <c r="J544" s="1282" t="s">
        <v>903</v>
      </c>
      <c r="K544" s="1282"/>
      <c r="L544" s="1282"/>
      <c r="AC544" s="1342"/>
      <c r="AH544" s="274"/>
    </row>
    <row r="545">
      <c r="B545" s="1282"/>
      <c r="C545" s="1282"/>
      <c r="D545" s="1282"/>
      <c r="E545" s="351"/>
      <c r="F545" s="1282"/>
      <c r="G545" s="1282"/>
      <c r="H545" s="1282"/>
      <c r="I545" s="1282"/>
      <c r="J545" s="1282" t="s">
        <v>903</v>
      </c>
      <c r="K545" s="1282"/>
      <c r="L545" s="1282"/>
      <c r="AC545" s="1342"/>
      <c r="AH545" s="274"/>
    </row>
    <row r="546">
      <c r="B546" s="1282"/>
      <c r="C546" s="1282"/>
      <c r="D546" s="1282"/>
      <c r="E546" s="351"/>
      <c r="F546" s="1282"/>
      <c r="G546" s="1282"/>
      <c r="H546" s="1282"/>
      <c r="I546" s="1282"/>
      <c r="J546" s="1282" t="s">
        <v>903</v>
      </c>
      <c r="K546" s="1282"/>
      <c r="L546" s="1282"/>
      <c r="AC546" s="1342"/>
      <c r="AH546" s="274"/>
    </row>
    <row r="547">
      <c r="B547" s="1282"/>
      <c r="C547" s="1282"/>
      <c r="D547" s="1282"/>
      <c r="E547" s="351"/>
      <c r="F547" s="1282"/>
      <c r="G547" s="1282"/>
      <c r="H547" s="1282"/>
      <c r="I547" s="1282"/>
      <c r="J547" s="1282" t="s">
        <v>903</v>
      </c>
      <c r="K547" s="1282"/>
      <c r="L547" s="1282"/>
      <c r="AC547" s="1342"/>
      <c r="AH547" s="274"/>
    </row>
    <row r="548">
      <c r="B548" s="1282"/>
      <c r="C548" s="1282"/>
      <c r="D548" s="1282"/>
      <c r="E548" s="351"/>
      <c r="F548" s="1282"/>
      <c r="G548" s="1282"/>
      <c r="H548" s="1282"/>
      <c r="I548" s="1282"/>
      <c r="J548" s="1282" t="s">
        <v>903</v>
      </c>
      <c r="K548" s="1282"/>
      <c r="L548" s="1282"/>
      <c r="AC548" s="1342"/>
      <c r="AH548" s="274"/>
    </row>
    <row r="549">
      <c r="B549" s="1282"/>
      <c r="C549" s="1282"/>
      <c r="D549" s="1282"/>
      <c r="E549" s="351"/>
      <c r="F549" s="1282"/>
      <c r="G549" s="1282"/>
      <c r="H549" s="1282"/>
      <c r="I549" s="1282"/>
      <c r="J549" s="1282" t="s">
        <v>903</v>
      </c>
      <c r="K549" s="1282"/>
      <c r="L549" s="1282"/>
      <c r="AC549" s="1342"/>
      <c r="AH549" s="274"/>
    </row>
    <row r="550">
      <c r="B550" s="1282"/>
      <c r="C550" s="1282"/>
      <c r="D550" s="1282"/>
      <c r="E550" s="351"/>
      <c r="F550" s="1282"/>
      <c r="G550" s="1282"/>
      <c r="H550" s="1282"/>
      <c r="I550" s="1282"/>
      <c r="J550" s="1282" t="s">
        <v>903</v>
      </c>
      <c r="K550" s="1282"/>
      <c r="L550" s="1282"/>
      <c r="AC550" s="1342"/>
      <c r="AH550" s="274"/>
    </row>
    <row r="551">
      <c r="B551" s="1282"/>
      <c r="C551" s="1282"/>
      <c r="D551" s="1282"/>
      <c r="E551" s="351"/>
      <c r="F551" s="1282"/>
      <c r="G551" s="1282"/>
      <c r="H551" s="1282"/>
      <c r="I551" s="1282"/>
      <c r="J551" s="1282" t="s">
        <v>903</v>
      </c>
      <c r="K551" s="1282"/>
      <c r="L551" s="1282"/>
      <c r="AC551" s="1342"/>
      <c r="AH551" s="274"/>
    </row>
    <row r="552">
      <c r="B552" s="1282"/>
      <c r="C552" s="1282"/>
      <c r="D552" s="1282"/>
      <c r="E552" s="351"/>
      <c r="F552" s="1282"/>
      <c r="G552" s="1282"/>
      <c r="H552" s="1282"/>
      <c r="I552" s="1282"/>
      <c r="J552" s="1282" t="s">
        <v>903</v>
      </c>
      <c r="K552" s="1282"/>
      <c r="L552" s="1282"/>
      <c r="AC552" s="1342"/>
      <c r="AH552" s="274"/>
    </row>
    <row r="553">
      <c r="B553" s="1282"/>
      <c r="C553" s="1282"/>
      <c r="D553" s="1282"/>
      <c r="E553" s="351"/>
      <c r="F553" s="1282"/>
      <c r="G553" s="1282"/>
      <c r="H553" s="1282"/>
      <c r="I553" s="1282"/>
      <c r="J553" s="1282" t="s">
        <v>903</v>
      </c>
      <c r="K553" s="1282"/>
      <c r="L553" s="1282"/>
      <c r="AC553" s="1342"/>
      <c r="AH553" s="274"/>
    </row>
    <row r="554">
      <c r="B554" s="1282"/>
      <c r="C554" s="1282"/>
      <c r="D554" s="1282"/>
      <c r="E554" s="351"/>
      <c r="F554" s="1282"/>
      <c r="G554" s="1282"/>
      <c r="H554" s="1282"/>
      <c r="I554" s="1282"/>
      <c r="J554" s="1282" t="s">
        <v>903</v>
      </c>
      <c r="K554" s="1282"/>
      <c r="L554" s="1282"/>
      <c r="AC554" s="1342"/>
      <c r="AH554" s="274"/>
    </row>
    <row r="555">
      <c r="B555" s="1282"/>
      <c r="C555" s="1282"/>
      <c r="D555" s="1282"/>
      <c r="E555" s="351"/>
      <c r="F555" s="1282"/>
      <c r="G555" s="1282"/>
      <c r="H555" s="1282"/>
      <c r="I555" s="1282"/>
      <c r="J555" s="1282" t="s">
        <v>903</v>
      </c>
      <c r="K555" s="1282"/>
      <c r="L555" s="1282"/>
      <c r="AC555" s="1342"/>
      <c r="AH555" s="274"/>
    </row>
    <row r="556">
      <c r="B556" s="1282"/>
      <c r="C556" s="1282"/>
      <c r="D556" s="1282"/>
      <c r="E556" s="351"/>
      <c r="F556" s="1282"/>
      <c r="G556" s="1282"/>
      <c r="H556" s="1282"/>
      <c r="I556" s="1282"/>
      <c r="J556" s="1282" t="s">
        <v>903</v>
      </c>
      <c r="K556" s="1282"/>
      <c r="L556" s="1282"/>
      <c r="AC556" s="1342"/>
      <c r="AH556" s="274"/>
    </row>
    <row r="557">
      <c r="B557" s="1282"/>
      <c r="C557" s="1282"/>
      <c r="D557" s="1282"/>
      <c r="E557" s="351"/>
      <c r="F557" s="1282"/>
      <c r="G557" s="1282"/>
      <c r="H557" s="1282"/>
      <c r="I557" s="1282"/>
      <c r="J557" s="1282" t="s">
        <v>903</v>
      </c>
      <c r="K557" s="1282"/>
      <c r="L557" s="1282"/>
      <c r="AC557" s="1342"/>
      <c r="AH557" s="274"/>
    </row>
    <row r="558">
      <c r="B558" s="1282"/>
      <c r="C558" s="1282"/>
      <c r="D558" s="1282"/>
      <c r="E558" s="351"/>
      <c r="F558" s="1282"/>
      <c r="G558" s="1282"/>
      <c r="H558" s="1282"/>
      <c r="I558" s="1282"/>
      <c r="J558" s="1282" t="s">
        <v>903</v>
      </c>
      <c r="K558" s="1282"/>
      <c r="L558" s="1282"/>
      <c r="AC558" s="1342"/>
      <c r="AH558" s="274"/>
    </row>
    <row r="559">
      <c r="B559" s="1282"/>
      <c r="C559" s="1282"/>
      <c r="D559" s="1282"/>
      <c r="E559" s="351"/>
      <c r="F559" s="1282"/>
      <c r="G559" s="1282"/>
      <c r="H559" s="1282"/>
      <c r="I559" s="1282"/>
      <c r="J559" s="1282" t="s">
        <v>903</v>
      </c>
      <c r="K559" s="1282"/>
      <c r="L559" s="1282"/>
      <c r="AC559" s="1342"/>
      <c r="AH559" s="274"/>
    </row>
    <row r="560">
      <c r="B560" s="1282"/>
      <c r="C560" s="1282"/>
      <c r="D560" s="1282"/>
      <c r="E560" s="351"/>
      <c r="F560" s="1282"/>
      <c r="G560" s="1282"/>
      <c r="H560" s="1282"/>
      <c r="I560" s="1282"/>
      <c r="J560" s="1282" t="s">
        <v>903</v>
      </c>
      <c r="K560" s="1282"/>
      <c r="L560" s="1282"/>
      <c r="AC560" s="1342"/>
      <c r="AH560" s="274"/>
    </row>
    <row r="561">
      <c r="B561" s="1282"/>
      <c r="C561" s="1282"/>
      <c r="D561" s="1282"/>
      <c r="E561" s="351"/>
      <c r="F561" s="1282"/>
      <c r="G561" s="1282"/>
      <c r="H561" s="1282"/>
      <c r="I561" s="1282"/>
      <c r="J561" s="1282" t="s">
        <v>903</v>
      </c>
      <c r="K561" s="1282"/>
      <c r="L561" s="1282"/>
      <c r="AC561" s="1342"/>
      <c r="AH561" s="274"/>
    </row>
    <row r="562">
      <c r="B562" s="1282"/>
      <c r="C562" s="1282"/>
      <c r="D562" s="1282"/>
      <c r="E562" s="351"/>
      <c r="F562" s="1282"/>
      <c r="G562" s="1282"/>
      <c r="H562" s="1282"/>
      <c r="I562" s="1282"/>
      <c r="J562" s="1282" t="s">
        <v>903</v>
      </c>
      <c r="K562" s="1282"/>
      <c r="L562" s="1282"/>
      <c r="AC562" s="1342"/>
      <c r="AH562" s="274"/>
    </row>
    <row r="563">
      <c r="B563" s="1282"/>
      <c r="C563" s="1282"/>
      <c r="D563" s="1282"/>
      <c r="E563" s="351"/>
      <c r="F563" s="1282"/>
      <c r="G563" s="1282"/>
      <c r="H563" s="1282"/>
      <c r="I563" s="1282"/>
      <c r="J563" s="1282" t="s">
        <v>903</v>
      </c>
      <c r="K563" s="1282"/>
      <c r="L563" s="1282"/>
      <c r="AC563" s="1342"/>
      <c r="AH563" s="274"/>
    </row>
    <row r="564">
      <c r="B564" s="1282"/>
      <c r="C564" s="1282"/>
      <c r="D564" s="1282"/>
      <c r="E564" s="351"/>
      <c r="F564" s="1282"/>
      <c r="G564" s="1282"/>
      <c r="H564" s="1282"/>
      <c r="I564" s="1282"/>
      <c r="J564" s="1282" t="s">
        <v>903</v>
      </c>
      <c r="K564" s="1282"/>
      <c r="L564" s="1282"/>
      <c r="AC564" s="1342"/>
      <c r="AH564" s="274"/>
    </row>
    <row r="565">
      <c r="B565" s="1282"/>
      <c r="C565" s="1282"/>
      <c r="D565" s="1282"/>
      <c r="E565" s="351"/>
      <c r="F565" s="1282"/>
      <c r="G565" s="1282"/>
      <c r="H565" s="1282"/>
      <c r="I565" s="1282"/>
      <c r="J565" s="1282" t="s">
        <v>903</v>
      </c>
      <c r="K565" s="1282"/>
      <c r="L565" s="1282"/>
      <c r="AC565" s="1342"/>
      <c r="AH565" s="274"/>
    </row>
    <row r="566">
      <c r="B566" s="1282"/>
      <c r="C566" s="1282"/>
      <c r="D566" s="1282"/>
      <c r="E566" s="351"/>
      <c r="F566" s="1282"/>
      <c r="G566" s="1282"/>
      <c r="H566" s="1282"/>
      <c r="I566" s="1282"/>
      <c r="J566" s="1282" t="s">
        <v>903</v>
      </c>
      <c r="K566" s="1282"/>
      <c r="L566" s="1282"/>
      <c r="AC566" s="1342"/>
      <c r="AH566" s="274"/>
    </row>
    <row r="567">
      <c r="B567" s="1282"/>
      <c r="C567" s="1282"/>
      <c r="D567" s="1282"/>
      <c r="E567" s="351"/>
      <c r="F567" s="1282"/>
      <c r="G567" s="1282"/>
      <c r="H567" s="1282"/>
      <c r="I567" s="1282"/>
      <c r="J567" s="1282" t="s">
        <v>903</v>
      </c>
      <c r="K567" s="1282"/>
      <c r="L567" s="1282"/>
      <c r="AC567" s="1342"/>
      <c r="AH567" s="274"/>
    </row>
    <row r="568">
      <c r="B568" s="1282"/>
      <c r="C568" s="1282"/>
      <c r="D568" s="1282"/>
      <c r="E568" s="351"/>
      <c r="F568" s="1282"/>
      <c r="G568" s="1282"/>
      <c r="H568" s="1282"/>
      <c r="I568" s="1282"/>
      <c r="J568" s="1282" t="s">
        <v>903</v>
      </c>
      <c r="K568" s="1282"/>
      <c r="L568" s="1282"/>
      <c r="AC568" s="1342"/>
      <c r="AH568" s="274"/>
    </row>
    <row r="569">
      <c r="B569" s="1282"/>
      <c r="C569" s="1282"/>
      <c r="D569" s="1282"/>
      <c r="E569" s="351"/>
      <c r="F569" s="1282"/>
      <c r="G569" s="1282"/>
      <c r="H569" s="1282"/>
      <c r="I569" s="1282"/>
      <c r="J569" s="1282" t="s">
        <v>903</v>
      </c>
      <c r="K569" s="1282"/>
      <c r="L569" s="1282"/>
      <c r="AC569" s="1342"/>
      <c r="AH569" s="274"/>
    </row>
    <row r="570">
      <c r="B570" s="1282"/>
      <c r="C570" s="1282"/>
      <c r="D570" s="1282"/>
      <c r="E570" s="351"/>
      <c r="F570" s="1282"/>
      <c r="G570" s="1282"/>
      <c r="H570" s="1282"/>
      <c r="I570" s="1282"/>
      <c r="J570" s="1282" t="s">
        <v>903</v>
      </c>
      <c r="K570" s="1282"/>
      <c r="L570" s="1282"/>
      <c r="AC570" s="1342"/>
      <c r="AH570" s="274"/>
    </row>
    <row r="571">
      <c r="B571" s="1282"/>
      <c r="C571" s="1282"/>
      <c r="D571" s="1282"/>
      <c r="E571" s="351"/>
      <c r="F571" s="1282"/>
      <c r="G571" s="1282"/>
      <c r="H571" s="1282"/>
      <c r="I571" s="1282"/>
      <c r="J571" s="1282" t="s">
        <v>903</v>
      </c>
      <c r="K571" s="1282"/>
      <c r="L571" s="1282"/>
      <c r="AC571" s="1342"/>
      <c r="AH571" s="274"/>
    </row>
    <row r="572">
      <c r="B572" s="1282"/>
      <c r="C572" s="1282"/>
      <c r="D572" s="1282"/>
      <c r="E572" s="351"/>
      <c r="F572" s="1282"/>
      <c r="G572" s="1282"/>
      <c r="H572" s="1282"/>
      <c r="I572" s="1282"/>
      <c r="J572" s="1282" t="s">
        <v>903</v>
      </c>
      <c r="K572" s="1282"/>
      <c r="L572" s="1282"/>
      <c r="AC572" s="1342"/>
      <c r="AH572" s="274"/>
    </row>
    <row r="573">
      <c r="B573" s="1282"/>
      <c r="C573" s="1282"/>
      <c r="D573" s="1282"/>
      <c r="E573" s="351"/>
      <c r="F573" s="1282"/>
      <c r="G573" s="1282"/>
      <c r="H573" s="1282"/>
      <c r="I573" s="1282"/>
      <c r="J573" s="1282" t="s">
        <v>903</v>
      </c>
      <c r="K573" s="1282"/>
      <c r="L573" s="1282"/>
      <c r="AC573" s="1342"/>
      <c r="AH573" s="274"/>
    </row>
    <row r="574">
      <c r="B574" s="1282"/>
      <c r="C574" s="1282"/>
      <c r="D574" s="1282"/>
      <c r="E574" s="351"/>
      <c r="F574" s="1282"/>
      <c r="G574" s="1282"/>
      <c r="H574" s="1282"/>
      <c r="I574" s="1282"/>
      <c r="J574" s="1282" t="s">
        <v>903</v>
      </c>
      <c r="K574" s="1282"/>
      <c r="L574" s="1282"/>
      <c r="AC574" s="1342"/>
      <c r="AH574" s="274"/>
    </row>
    <row r="575">
      <c r="B575" s="1282"/>
      <c r="C575" s="1282"/>
      <c r="D575" s="1282"/>
      <c r="E575" s="351"/>
      <c r="F575" s="1282"/>
      <c r="G575" s="1282"/>
      <c r="H575" s="1282"/>
      <c r="I575" s="1282"/>
      <c r="J575" s="1282" t="s">
        <v>903</v>
      </c>
      <c r="K575" s="1282"/>
      <c r="L575" s="1282"/>
      <c r="AC575" s="1342"/>
      <c r="AH575" s="274"/>
    </row>
    <row r="576">
      <c r="B576" s="1282"/>
      <c r="C576" s="1282"/>
      <c r="D576" s="1282"/>
      <c r="E576" s="351"/>
      <c r="F576" s="1282"/>
      <c r="G576" s="1282"/>
      <c r="H576" s="1282"/>
      <c r="I576" s="1282"/>
      <c r="J576" s="1282" t="s">
        <v>903</v>
      </c>
      <c r="K576" s="1282"/>
      <c r="L576" s="1282"/>
      <c r="AC576" s="1342"/>
      <c r="AH576" s="274"/>
    </row>
    <row r="577">
      <c r="B577" s="1282"/>
      <c r="C577" s="1282"/>
      <c r="D577" s="1282"/>
      <c r="E577" s="351"/>
      <c r="F577" s="1282"/>
      <c r="G577" s="1282"/>
      <c r="H577" s="1282"/>
      <c r="I577" s="1282"/>
      <c r="J577" s="1282" t="s">
        <v>903</v>
      </c>
      <c r="K577" s="1282"/>
      <c r="L577" s="1282"/>
      <c r="AC577" s="1342"/>
      <c r="AH577" s="274"/>
    </row>
    <row r="578">
      <c r="B578" s="1282"/>
      <c r="C578" s="1282"/>
      <c r="D578" s="1282"/>
      <c r="E578" s="351"/>
      <c r="F578" s="1282"/>
      <c r="G578" s="1282"/>
      <c r="H578" s="1282"/>
      <c r="I578" s="1282"/>
      <c r="J578" s="1282" t="s">
        <v>903</v>
      </c>
      <c r="K578" s="1282"/>
      <c r="L578" s="1282"/>
      <c r="AC578" s="1342"/>
      <c r="AH578" s="274"/>
    </row>
    <row r="579">
      <c r="B579" s="1282"/>
      <c r="C579" s="1282"/>
      <c r="D579" s="1282"/>
      <c r="E579" s="351"/>
      <c r="F579" s="1282"/>
      <c r="G579" s="1282"/>
      <c r="H579" s="1282"/>
      <c r="I579" s="1282"/>
      <c r="J579" s="1282" t="s">
        <v>903</v>
      </c>
      <c r="K579" s="1282"/>
      <c r="L579" s="1282"/>
      <c r="AC579" s="1342"/>
      <c r="AH579" s="274"/>
    </row>
    <row r="580">
      <c r="B580" s="1282"/>
      <c r="C580" s="1282"/>
      <c r="D580" s="1282"/>
      <c r="E580" s="351"/>
      <c r="F580" s="1282"/>
      <c r="G580" s="1282"/>
      <c r="H580" s="1282"/>
      <c r="I580" s="1282"/>
      <c r="J580" s="1282" t="s">
        <v>903</v>
      </c>
      <c r="K580" s="1282"/>
      <c r="L580" s="1282"/>
      <c r="AC580" s="1342"/>
      <c r="AH580" s="274"/>
    </row>
    <row r="581">
      <c r="B581" s="1282"/>
      <c r="C581" s="1282"/>
      <c r="D581" s="1282"/>
      <c r="E581" s="351"/>
      <c r="F581" s="1282"/>
      <c r="G581" s="1282"/>
      <c r="H581" s="1282"/>
      <c r="I581" s="1282"/>
      <c r="J581" s="1282" t="s">
        <v>903</v>
      </c>
      <c r="K581" s="1282"/>
      <c r="L581" s="1282"/>
      <c r="AC581" s="1342"/>
      <c r="AH581" s="274"/>
    </row>
    <row r="582">
      <c r="B582" s="1282"/>
      <c r="C582" s="1282"/>
      <c r="D582" s="1282"/>
      <c r="E582" s="351"/>
      <c r="F582" s="1282"/>
      <c r="G582" s="1282"/>
      <c r="H582" s="1282"/>
      <c r="I582" s="1282"/>
      <c r="J582" s="1282" t="s">
        <v>903</v>
      </c>
      <c r="K582" s="1282"/>
      <c r="L582" s="1282"/>
      <c r="AC582" s="1342"/>
      <c r="AH582" s="274"/>
    </row>
    <row r="583">
      <c r="B583" s="1282"/>
      <c r="C583" s="1282"/>
      <c r="D583" s="1282"/>
      <c r="E583" s="351"/>
      <c r="F583" s="1282"/>
      <c r="G583" s="1282"/>
      <c r="H583" s="1282"/>
      <c r="I583" s="1282"/>
      <c r="J583" s="1282" t="s">
        <v>903</v>
      </c>
      <c r="K583" s="1282"/>
      <c r="L583" s="1282"/>
      <c r="AC583" s="1342"/>
      <c r="AH583" s="274"/>
    </row>
    <row r="584">
      <c r="B584" s="1282"/>
      <c r="C584" s="1282"/>
      <c r="D584" s="1282"/>
      <c r="E584" s="351"/>
      <c r="F584" s="1282"/>
      <c r="G584" s="1282"/>
      <c r="H584" s="1282"/>
      <c r="I584" s="1282"/>
      <c r="J584" s="1282" t="s">
        <v>903</v>
      </c>
      <c r="K584" s="1282"/>
      <c r="L584" s="1282"/>
      <c r="AC584" s="1342"/>
      <c r="AH584" s="274"/>
    </row>
    <row r="585">
      <c r="B585" s="1282"/>
      <c r="C585" s="1282"/>
      <c r="D585" s="1282"/>
      <c r="E585" s="351"/>
      <c r="F585" s="1282"/>
      <c r="G585" s="1282"/>
      <c r="H585" s="1282"/>
      <c r="I585" s="1282"/>
      <c r="J585" s="1282" t="s">
        <v>903</v>
      </c>
      <c r="K585" s="1282"/>
      <c r="L585" s="1282"/>
      <c r="AC585" s="1342"/>
      <c r="AH585" s="274"/>
    </row>
    <row r="586">
      <c r="B586" s="1282"/>
      <c r="C586" s="1282"/>
      <c r="D586" s="1282"/>
      <c r="E586" s="351"/>
      <c r="F586" s="1282"/>
      <c r="G586" s="1282"/>
      <c r="H586" s="1282"/>
      <c r="I586" s="1282"/>
      <c r="J586" s="1282" t="s">
        <v>903</v>
      </c>
      <c r="K586" s="1282"/>
      <c r="L586" s="1282"/>
      <c r="AC586" s="1342"/>
      <c r="AH586" s="274"/>
    </row>
    <row r="587">
      <c r="B587" s="1282"/>
      <c r="C587" s="1282"/>
      <c r="D587" s="1282"/>
      <c r="E587" s="351"/>
      <c r="F587" s="1282"/>
      <c r="G587" s="1282"/>
      <c r="H587" s="1282"/>
      <c r="I587" s="1282"/>
      <c r="J587" s="1282" t="s">
        <v>903</v>
      </c>
      <c r="K587" s="1282"/>
      <c r="L587" s="1282"/>
      <c r="AC587" s="1342"/>
      <c r="AH587" s="274"/>
    </row>
    <row r="588">
      <c r="B588" s="1282"/>
      <c r="C588" s="1282"/>
      <c r="D588" s="1282"/>
      <c r="E588" s="351"/>
      <c r="F588" s="1282"/>
      <c r="G588" s="1282"/>
      <c r="H588" s="1282"/>
      <c r="I588" s="1282"/>
      <c r="J588" s="1282" t="s">
        <v>903</v>
      </c>
      <c r="K588" s="1282"/>
      <c r="L588" s="1282"/>
      <c r="AC588" s="1342"/>
      <c r="AH588" s="274"/>
    </row>
    <row r="589">
      <c r="B589" s="1282"/>
      <c r="C589" s="1282"/>
      <c r="D589" s="1282"/>
      <c r="E589" s="351"/>
      <c r="F589" s="1282"/>
      <c r="G589" s="1282"/>
      <c r="H589" s="1282"/>
      <c r="I589" s="1282"/>
      <c r="J589" s="1282" t="s">
        <v>903</v>
      </c>
      <c r="K589" s="1282"/>
      <c r="L589" s="1282"/>
      <c r="AC589" s="1342"/>
      <c r="AH589" s="274"/>
    </row>
    <row r="590">
      <c r="B590" s="1282"/>
      <c r="C590" s="1282"/>
      <c r="D590" s="1282"/>
      <c r="E590" s="351"/>
      <c r="F590" s="1282"/>
      <c r="G590" s="1282"/>
      <c r="H590" s="1282"/>
      <c r="I590" s="1282"/>
      <c r="J590" s="1282" t="s">
        <v>903</v>
      </c>
      <c r="K590" s="1282"/>
      <c r="L590" s="1282"/>
      <c r="AC590" s="1342"/>
      <c r="AH590" s="274"/>
    </row>
    <row r="591">
      <c r="B591" s="1282"/>
      <c r="C591" s="1282"/>
      <c r="D591" s="1282"/>
      <c r="E591" s="351"/>
      <c r="F591" s="1282"/>
      <c r="G591" s="1282"/>
      <c r="H591" s="1282"/>
      <c r="I591" s="1282"/>
      <c r="J591" s="1282" t="s">
        <v>903</v>
      </c>
      <c r="K591" s="1282"/>
      <c r="L591" s="1282"/>
      <c r="AC591" s="1342"/>
      <c r="AH591" s="274"/>
    </row>
    <row r="592">
      <c r="B592" s="1282"/>
      <c r="C592" s="1282"/>
      <c r="D592" s="1282"/>
      <c r="E592" s="351"/>
      <c r="F592" s="1282"/>
      <c r="G592" s="1282"/>
      <c r="H592" s="1282"/>
      <c r="I592" s="1282"/>
      <c r="J592" s="1282" t="s">
        <v>903</v>
      </c>
      <c r="K592" s="1282"/>
      <c r="L592" s="1282"/>
      <c r="AC592" s="1342"/>
      <c r="AH592" s="274"/>
    </row>
    <row r="593">
      <c r="B593" s="1282"/>
      <c r="C593" s="1282"/>
      <c r="D593" s="1282"/>
      <c r="E593" s="351"/>
      <c r="F593" s="1282"/>
      <c r="G593" s="1282"/>
      <c r="H593" s="1282"/>
      <c r="I593" s="1282"/>
      <c r="J593" s="1282" t="s">
        <v>903</v>
      </c>
      <c r="K593" s="1282"/>
      <c r="L593" s="1282"/>
      <c r="AC593" s="1342"/>
      <c r="AH593" s="274"/>
    </row>
    <row r="594">
      <c r="B594" s="1282"/>
      <c r="C594" s="1282"/>
      <c r="D594" s="1282"/>
      <c r="E594" s="351"/>
      <c r="F594" s="1282"/>
      <c r="G594" s="1282"/>
      <c r="H594" s="1282"/>
      <c r="I594" s="1282"/>
      <c r="J594" s="1282" t="s">
        <v>903</v>
      </c>
      <c r="K594" s="1282"/>
      <c r="L594" s="1282"/>
      <c r="AC594" s="1342"/>
      <c r="AH594" s="274"/>
    </row>
    <row r="595">
      <c r="B595" s="1282"/>
      <c r="C595" s="1282"/>
      <c r="D595" s="1282"/>
      <c r="E595" s="351"/>
      <c r="F595" s="1282"/>
      <c r="G595" s="1282"/>
      <c r="H595" s="1282"/>
      <c r="I595" s="1282"/>
      <c r="J595" s="1282" t="s">
        <v>903</v>
      </c>
      <c r="K595" s="1282"/>
      <c r="L595" s="1282"/>
      <c r="AC595" s="1342"/>
      <c r="AH595" s="274"/>
    </row>
    <row r="596">
      <c r="B596" s="1282"/>
      <c r="C596" s="1282"/>
      <c r="D596" s="1282"/>
      <c r="E596" s="351"/>
      <c r="F596" s="1282"/>
      <c r="G596" s="1282"/>
      <c r="H596" s="1282"/>
      <c r="I596" s="1282"/>
      <c r="J596" s="1282" t="s">
        <v>903</v>
      </c>
      <c r="K596" s="1282"/>
      <c r="L596" s="1282"/>
      <c r="AC596" s="1342"/>
      <c r="AH596" s="274"/>
    </row>
    <row r="597">
      <c r="B597" s="1282"/>
      <c r="C597" s="1282"/>
      <c r="D597" s="1282"/>
      <c r="E597" s="351"/>
      <c r="F597" s="1282"/>
      <c r="G597" s="1282"/>
      <c r="H597" s="1282"/>
      <c r="I597" s="1282"/>
      <c r="J597" s="1282" t="s">
        <v>903</v>
      </c>
      <c r="K597" s="1282"/>
      <c r="L597" s="1282"/>
      <c r="AC597" s="1342"/>
      <c r="AH597" s="274"/>
    </row>
    <row r="598">
      <c r="B598" s="1282"/>
      <c r="C598" s="1282"/>
      <c r="D598" s="1282"/>
      <c r="E598" s="351"/>
      <c r="F598" s="1282"/>
      <c r="G598" s="1282"/>
      <c r="H598" s="1282"/>
      <c r="I598" s="1282"/>
      <c r="J598" s="1282" t="s">
        <v>903</v>
      </c>
      <c r="K598" s="1282"/>
      <c r="L598" s="1282"/>
      <c r="AC598" s="1342"/>
      <c r="AH598" s="274"/>
    </row>
    <row r="599">
      <c r="B599" s="1282"/>
      <c r="C599" s="1282"/>
      <c r="D599" s="1282"/>
      <c r="E599" s="351"/>
      <c r="F599" s="1282"/>
      <c r="G599" s="1282"/>
      <c r="H599" s="1282"/>
      <c r="I599" s="1282"/>
      <c r="J599" s="1282" t="s">
        <v>903</v>
      </c>
      <c r="K599" s="1282"/>
      <c r="L599" s="1282"/>
      <c r="AC599" s="1342"/>
      <c r="AH599" s="274"/>
    </row>
    <row r="600">
      <c r="B600" s="1282"/>
      <c r="C600" s="1282"/>
      <c r="D600" s="1282"/>
      <c r="E600" s="351"/>
      <c r="F600" s="1282"/>
      <c r="G600" s="1282"/>
      <c r="H600" s="1282"/>
      <c r="I600" s="1282"/>
      <c r="J600" s="1282" t="s">
        <v>903</v>
      </c>
      <c r="K600" s="1282"/>
      <c r="L600" s="1282"/>
      <c r="AC600" s="1342"/>
      <c r="AH600" s="274"/>
    </row>
    <row r="601">
      <c r="B601" s="1282"/>
      <c r="C601" s="1282"/>
      <c r="D601" s="1282"/>
      <c r="E601" s="351"/>
      <c r="F601" s="1282"/>
      <c r="G601" s="1282"/>
      <c r="H601" s="1282"/>
      <c r="I601" s="1282"/>
      <c r="J601" s="1282" t="s">
        <v>903</v>
      </c>
      <c r="K601" s="1282"/>
      <c r="L601" s="1282"/>
      <c r="AC601" s="1342"/>
      <c r="AH601" s="274"/>
    </row>
    <row r="602">
      <c r="B602" s="1282"/>
      <c r="C602" s="1282"/>
      <c r="D602" s="1282"/>
      <c r="E602" s="351"/>
      <c r="F602" s="1282"/>
      <c r="G602" s="1282"/>
      <c r="H602" s="1282"/>
      <c r="I602" s="1282"/>
      <c r="J602" s="1282" t="s">
        <v>903</v>
      </c>
      <c r="K602" s="1282"/>
      <c r="L602" s="1282"/>
      <c r="AC602" s="1342"/>
      <c r="AH602" s="274"/>
    </row>
    <row r="603">
      <c r="B603" s="1282"/>
      <c r="C603" s="1282"/>
      <c r="D603" s="1282"/>
      <c r="E603" s="351"/>
      <c r="F603" s="1282"/>
      <c r="G603" s="1282"/>
      <c r="H603" s="1282"/>
      <c r="I603" s="1282"/>
      <c r="J603" s="1282" t="s">
        <v>903</v>
      </c>
      <c r="K603" s="1282"/>
      <c r="L603" s="1282"/>
      <c r="AC603" s="1342"/>
      <c r="AH603" s="274"/>
    </row>
    <row r="604">
      <c r="B604" s="1282"/>
      <c r="C604" s="1282"/>
      <c r="D604" s="1282"/>
      <c r="E604" s="351"/>
      <c r="F604" s="1282"/>
      <c r="G604" s="1282"/>
      <c r="H604" s="1282"/>
      <c r="I604" s="1282"/>
      <c r="J604" s="1282" t="s">
        <v>903</v>
      </c>
      <c r="K604" s="1282"/>
      <c r="L604" s="1282"/>
      <c r="AC604" s="1342"/>
      <c r="AH604" s="274"/>
    </row>
    <row r="605">
      <c r="B605" s="1282"/>
      <c r="C605" s="1282"/>
      <c r="D605" s="1282"/>
      <c r="E605" s="351"/>
      <c r="F605" s="1282"/>
      <c r="G605" s="1282"/>
      <c r="H605" s="1282"/>
      <c r="I605" s="1282"/>
      <c r="J605" s="1282" t="s">
        <v>903</v>
      </c>
      <c r="K605" s="1282"/>
      <c r="L605" s="1282"/>
      <c r="AC605" s="1342"/>
      <c r="AH605" s="274"/>
    </row>
    <row r="606">
      <c r="B606" s="1282"/>
      <c r="C606" s="1282"/>
      <c r="D606" s="1282"/>
      <c r="E606" s="351"/>
      <c r="F606" s="1282"/>
      <c r="G606" s="1282"/>
      <c r="H606" s="1282"/>
      <c r="I606" s="1282"/>
      <c r="J606" s="1282" t="s">
        <v>903</v>
      </c>
      <c r="K606" s="1282"/>
      <c r="L606" s="1282"/>
      <c r="AC606" s="1342"/>
      <c r="AH606" s="274"/>
    </row>
    <row r="607">
      <c r="B607" s="1282"/>
      <c r="C607" s="1282"/>
      <c r="D607" s="1282"/>
      <c r="E607" s="351"/>
      <c r="F607" s="1282"/>
      <c r="G607" s="1282"/>
      <c r="H607" s="1282"/>
      <c r="I607" s="1282"/>
      <c r="J607" s="1282" t="s">
        <v>903</v>
      </c>
      <c r="K607" s="1282"/>
      <c r="L607" s="1282"/>
      <c r="AC607" s="1342"/>
      <c r="AH607" s="274"/>
    </row>
    <row r="608">
      <c r="B608" s="1282"/>
      <c r="C608" s="1282"/>
      <c r="D608" s="1282"/>
      <c r="E608" s="351"/>
      <c r="F608" s="1282"/>
      <c r="G608" s="1282"/>
      <c r="H608" s="1282"/>
      <c r="I608" s="1282"/>
      <c r="J608" s="1282" t="s">
        <v>903</v>
      </c>
      <c r="K608" s="1282"/>
      <c r="L608" s="1282"/>
      <c r="AC608" s="1342"/>
      <c r="AH608" s="274"/>
    </row>
    <row r="609">
      <c r="B609" s="1282"/>
      <c r="C609" s="1282"/>
      <c r="D609" s="1282"/>
      <c r="E609" s="351"/>
      <c r="F609" s="1282"/>
      <c r="G609" s="1282"/>
      <c r="H609" s="1282"/>
      <c r="I609" s="1282"/>
      <c r="J609" s="1282" t="s">
        <v>903</v>
      </c>
      <c r="K609" s="1282"/>
      <c r="L609" s="1282"/>
      <c r="AC609" s="1342"/>
      <c r="AH609" s="274"/>
    </row>
    <row r="610">
      <c r="B610" s="1282"/>
      <c r="C610" s="1282"/>
      <c r="D610" s="1282"/>
      <c r="E610" s="351"/>
      <c r="F610" s="1282"/>
      <c r="G610" s="1282"/>
      <c r="H610" s="1282"/>
      <c r="I610" s="1282"/>
      <c r="J610" s="1282" t="s">
        <v>903</v>
      </c>
      <c r="K610" s="1282"/>
      <c r="L610" s="1282"/>
      <c r="AC610" s="1342"/>
      <c r="AH610" s="274"/>
    </row>
    <row r="611">
      <c r="B611" s="1282"/>
      <c r="C611" s="1282"/>
      <c r="D611" s="1282"/>
      <c r="E611" s="351"/>
      <c r="F611" s="1282"/>
      <c r="G611" s="1282"/>
      <c r="H611" s="1282"/>
      <c r="I611" s="1282"/>
      <c r="J611" s="1282" t="s">
        <v>903</v>
      </c>
      <c r="K611" s="1282"/>
      <c r="L611" s="1282"/>
      <c r="AC611" s="1342"/>
      <c r="AH611" s="274"/>
    </row>
    <row r="612">
      <c r="B612" s="1282"/>
      <c r="C612" s="1282"/>
      <c r="D612" s="1282"/>
      <c r="E612" s="351"/>
      <c r="F612" s="1282"/>
      <c r="G612" s="1282"/>
      <c r="H612" s="1282"/>
      <c r="I612" s="1282"/>
      <c r="J612" s="1282" t="s">
        <v>903</v>
      </c>
      <c r="K612" s="1282"/>
      <c r="L612" s="1282"/>
      <c r="AC612" s="1342"/>
      <c r="AH612" s="274"/>
    </row>
    <row r="613">
      <c r="B613" s="1282"/>
      <c r="C613" s="1282"/>
      <c r="D613" s="1282"/>
      <c r="E613" s="351"/>
      <c r="F613" s="1282"/>
      <c r="G613" s="1282"/>
      <c r="H613" s="1282"/>
      <c r="I613" s="1282"/>
      <c r="J613" s="1282" t="s">
        <v>903</v>
      </c>
      <c r="K613" s="1282"/>
      <c r="L613" s="1282"/>
      <c r="AC613" s="1342"/>
      <c r="AH613" s="274"/>
    </row>
    <row r="614">
      <c r="B614" s="1282"/>
      <c r="C614" s="1282"/>
      <c r="D614" s="1282"/>
      <c r="E614" s="351"/>
      <c r="F614" s="1282"/>
      <c r="G614" s="1282"/>
      <c r="H614" s="1282"/>
      <c r="I614" s="1282"/>
      <c r="J614" s="1282" t="s">
        <v>903</v>
      </c>
      <c r="K614" s="1282"/>
      <c r="L614" s="1282"/>
      <c r="AC614" s="1342"/>
      <c r="AH614" s="274"/>
    </row>
    <row r="615">
      <c r="B615" s="1282"/>
      <c r="C615" s="1282"/>
      <c r="D615" s="1282"/>
      <c r="E615" s="351"/>
      <c r="F615" s="1282"/>
      <c r="G615" s="1282"/>
      <c r="H615" s="1282"/>
      <c r="I615" s="1282"/>
      <c r="J615" s="1282" t="s">
        <v>903</v>
      </c>
      <c r="K615" s="1282"/>
      <c r="L615" s="1282"/>
      <c r="AC615" s="1342"/>
      <c r="AH615" s="274"/>
    </row>
    <row r="616">
      <c r="B616" s="1282"/>
      <c r="C616" s="1282"/>
      <c r="D616" s="1282"/>
      <c r="E616" s="351"/>
      <c r="F616" s="1282"/>
      <c r="G616" s="1282"/>
      <c r="H616" s="1282"/>
      <c r="I616" s="1282"/>
      <c r="J616" s="1282" t="s">
        <v>903</v>
      </c>
      <c r="K616" s="1282"/>
      <c r="L616" s="1282"/>
      <c r="AC616" s="1342"/>
      <c r="AH616" s="274"/>
    </row>
    <row r="617">
      <c r="B617" s="1282"/>
      <c r="C617" s="1282"/>
      <c r="D617" s="1282"/>
      <c r="E617" s="351"/>
      <c r="F617" s="1282"/>
      <c r="G617" s="1282"/>
      <c r="H617" s="1282"/>
      <c r="I617" s="1282"/>
      <c r="J617" s="1282" t="s">
        <v>903</v>
      </c>
      <c r="K617" s="1282"/>
      <c r="L617" s="1282"/>
      <c r="AC617" s="1342"/>
      <c r="AH617" s="274"/>
    </row>
    <row r="618">
      <c r="B618" s="1282"/>
      <c r="C618" s="1282"/>
      <c r="D618" s="1282"/>
      <c r="E618" s="351"/>
      <c r="F618" s="1282"/>
      <c r="G618" s="1282"/>
      <c r="H618" s="1282"/>
      <c r="I618" s="1282"/>
      <c r="J618" s="1282" t="s">
        <v>903</v>
      </c>
      <c r="K618" s="1282"/>
      <c r="L618" s="1282"/>
      <c r="AC618" s="1342"/>
      <c r="AH618" s="274"/>
    </row>
    <row r="619">
      <c r="B619" s="1282"/>
      <c r="C619" s="1282"/>
      <c r="D619" s="1282"/>
      <c r="E619" s="351"/>
      <c r="F619" s="1282"/>
      <c r="G619" s="1282"/>
      <c r="H619" s="1282"/>
      <c r="I619" s="1282"/>
      <c r="J619" s="1282" t="s">
        <v>903</v>
      </c>
      <c r="K619" s="1282"/>
      <c r="L619" s="1282"/>
      <c r="AC619" s="1342"/>
      <c r="AH619" s="274"/>
    </row>
    <row r="620">
      <c r="B620" s="1282"/>
      <c r="C620" s="1282"/>
      <c r="D620" s="1282"/>
      <c r="E620" s="351"/>
      <c r="F620" s="1282"/>
      <c r="G620" s="1282"/>
      <c r="H620" s="1282"/>
      <c r="I620" s="1282"/>
      <c r="J620" s="1282" t="s">
        <v>903</v>
      </c>
      <c r="K620" s="1282"/>
      <c r="L620" s="1282"/>
      <c r="AC620" s="1342"/>
      <c r="AH620" s="274"/>
    </row>
    <row r="621">
      <c r="B621" s="1282"/>
      <c r="C621" s="1282"/>
      <c r="D621" s="1282"/>
      <c r="E621" s="351"/>
      <c r="F621" s="1282"/>
      <c r="G621" s="1282"/>
      <c r="H621" s="1282"/>
      <c r="I621" s="1282"/>
      <c r="J621" s="1282" t="s">
        <v>903</v>
      </c>
      <c r="K621" s="1282"/>
      <c r="L621" s="1282"/>
      <c r="AC621" s="1342"/>
      <c r="AH621" s="274"/>
    </row>
    <row r="622">
      <c r="B622" s="1282"/>
      <c r="C622" s="1282"/>
      <c r="D622" s="1282"/>
      <c r="E622" s="351"/>
      <c r="F622" s="1282"/>
      <c r="G622" s="1282"/>
      <c r="H622" s="1282"/>
      <c r="I622" s="1282"/>
      <c r="J622" s="1282" t="s">
        <v>903</v>
      </c>
      <c r="K622" s="1282"/>
      <c r="L622" s="1282"/>
      <c r="AC622" s="1342"/>
      <c r="AH622" s="274"/>
    </row>
    <row r="623">
      <c r="B623" s="1282"/>
      <c r="C623" s="1282"/>
      <c r="D623" s="1282"/>
      <c r="E623" s="351"/>
      <c r="F623" s="1282"/>
      <c r="G623" s="1282"/>
      <c r="H623" s="1282"/>
      <c r="I623" s="1282"/>
      <c r="J623" s="1282" t="s">
        <v>903</v>
      </c>
      <c r="K623" s="1282"/>
      <c r="L623" s="1282"/>
      <c r="AC623" s="1342"/>
      <c r="AH623" s="274"/>
    </row>
    <row r="624">
      <c r="B624" s="1282"/>
      <c r="C624" s="1282"/>
      <c r="D624" s="1282"/>
      <c r="E624" s="351"/>
      <c r="F624" s="1282"/>
      <c r="G624" s="1282"/>
      <c r="H624" s="1282"/>
      <c r="I624" s="1282"/>
      <c r="J624" s="1282" t="s">
        <v>903</v>
      </c>
      <c r="K624" s="1282"/>
      <c r="L624" s="1282"/>
      <c r="AC624" s="1342"/>
      <c r="AH624" s="274"/>
    </row>
    <row r="625">
      <c r="B625" s="1282"/>
      <c r="C625" s="1282"/>
      <c r="D625" s="1282"/>
      <c r="E625" s="351"/>
      <c r="F625" s="1282"/>
      <c r="G625" s="1282"/>
      <c r="H625" s="1282"/>
      <c r="I625" s="1282"/>
      <c r="J625" s="1282" t="s">
        <v>903</v>
      </c>
      <c r="K625" s="1282"/>
      <c r="L625" s="1282"/>
      <c r="AC625" s="1342"/>
      <c r="AH625" s="274"/>
    </row>
    <row r="626">
      <c r="B626" s="1282"/>
      <c r="C626" s="1282"/>
      <c r="D626" s="1282"/>
      <c r="E626" s="351"/>
      <c r="F626" s="1282"/>
      <c r="G626" s="1282"/>
      <c r="H626" s="1282"/>
      <c r="I626" s="1282"/>
      <c r="J626" s="1282" t="s">
        <v>903</v>
      </c>
      <c r="K626" s="1282"/>
      <c r="L626" s="1282"/>
      <c r="AC626" s="1342"/>
      <c r="AH626" s="274"/>
    </row>
    <row r="627">
      <c r="B627" s="1282"/>
      <c r="C627" s="1282"/>
      <c r="D627" s="1282"/>
      <c r="E627" s="351"/>
      <c r="F627" s="1282"/>
      <c r="G627" s="1282"/>
      <c r="H627" s="1282"/>
      <c r="I627" s="1282"/>
      <c r="J627" s="1282" t="s">
        <v>903</v>
      </c>
      <c r="K627" s="1282"/>
      <c r="L627" s="1282"/>
      <c r="AC627" s="1342"/>
      <c r="AH627" s="274"/>
    </row>
    <row r="628">
      <c r="B628" s="1282"/>
      <c r="C628" s="1282"/>
      <c r="D628" s="1282"/>
      <c r="E628" s="351"/>
      <c r="F628" s="1282"/>
      <c r="G628" s="1282"/>
      <c r="H628" s="1282"/>
      <c r="I628" s="1282"/>
      <c r="J628" s="1282" t="s">
        <v>903</v>
      </c>
      <c r="K628" s="1282"/>
      <c r="L628" s="1282"/>
      <c r="AC628" s="1342"/>
      <c r="AH628" s="274"/>
    </row>
    <row r="629">
      <c r="B629" s="1282"/>
      <c r="C629" s="1282"/>
      <c r="D629" s="1282"/>
      <c r="E629" s="351"/>
      <c r="F629" s="1282"/>
      <c r="G629" s="1282"/>
      <c r="H629" s="1282"/>
      <c r="I629" s="1282"/>
      <c r="J629" s="1282" t="s">
        <v>903</v>
      </c>
      <c r="K629" s="1282"/>
      <c r="L629" s="1282"/>
      <c r="AC629" s="1342"/>
      <c r="AH629" s="274"/>
    </row>
    <row r="630">
      <c r="B630" s="1282"/>
      <c r="C630" s="1282"/>
      <c r="D630" s="1282"/>
      <c r="E630" s="351"/>
      <c r="F630" s="1282"/>
      <c r="G630" s="1282"/>
      <c r="H630" s="1282"/>
      <c r="I630" s="1282"/>
      <c r="J630" s="1282" t="s">
        <v>903</v>
      </c>
      <c r="K630" s="1282"/>
      <c r="L630" s="1282"/>
      <c r="AC630" s="1342"/>
      <c r="AH630" s="274"/>
    </row>
    <row r="631">
      <c r="B631" s="1282"/>
      <c r="C631" s="1282"/>
      <c r="D631" s="1282"/>
      <c r="E631" s="351"/>
      <c r="F631" s="1282"/>
      <c r="G631" s="1282"/>
      <c r="H631" s="1282"/>
      <c r="I631" s="1282"/>
      <c r="J631" s="1282" t="s">
        <v>903</v>
      </c>
      <c r="K631" s="1282"/>
      <c r="L631" s="1282"/>
      <c r="AC631" s="1342"/>
      <c r="AH631" s="274"/>
    </row>
    <row r="632">
      <c r="B632" s="1282"/>
      <c r="C632" s="1282"/>
      <c r="D632" s="1282"/>
      <c r="E632" s="351"/>
      <c r="F632" s="1282"/>
      <c r="G632" s="1282"/>
      <c r="H632" s="1282"/>
      <c r="I632" s="1282"/>
      <c r="J632" s="1282" t="s">
        <v>903</v>
      </c>
      <c r="K632" s="1282"/>
      <c r="L632" s="1282"/>
      <c r="AC632" s="1342"/>
      <c r="AH632" s="274"/>
    </row>
    <row r="633">
      <c r="B633" s="1282"/>
      <c r="C633" s="1282"/>
      <c r="D633" s="1282"/>
      <c r="E633" s="351"/>
      <c r="F633" s="1282"/>
      <c r="G633" s="1282"/>
      <c r="H633" s="1282"/>
      <c r="I633" s="1282"/>
      <c r="J633" s="1282" t="s">
        <v>903</v>
      </c>
      <c r="K633" s="1282"/>
      <c r="L633" s="1282"/>
      <c r="AC633" s="1342"/>
      <c r="AH633" s="274"/>
    </row>
    <row r="634">
      <c r="B634" s="1282"/>
      <c r="C634" s="1282"/>
      <c r="D634" s="1282"/>
      <c r="E634" s="351"/>
      <c r="F634" s="1282"/>
      <c r="G634" s="1282"/>
      <c r="H634" s="1282"/>
      <c r="I634" s="1282"/>
      <c r="J634" s="1282" t="s">
        <v>903</v>
      </c>
      <c r="K634" s="1282"/>
      <c r="L634" s="1282"/>
      <c r="AC634" s="1342"/>
      <c r="AH634" s="274"/>
    </row>
    <row r="635">
      <c r="B635" s="1282"/>
      <c r="C635" s="1282"/>
      <c r="D635" s="1282"/>
      <c r="E635" s="351"/>
      <c r="F635" s="1282"/>
      <c r="G635" s="1282"/>
      <c r="H635" s="1282"/>
      <c r="I635" s="1282"/>
      <c r="J635" s="1282" t="s">
        <v>903</v>
      </c>
      <c r="K635" s="1282"/>
      <c r="L635" s="1282"/>
      <c r="AC635" s="1342"/>
      <c r="AH635" s="274"/>
    </row>
    <row r="636">
      <c r="B636" s="1282"/>
      <c r="C636" s="1282"/>
      <c r="D636" s="1282"/>
      <c r="E636" s="351"/>
      <c r="F636" s="1282"/>
      <c r="G636" s="1282"/>
      <c r="H636" s="1282"/>
      <c r="I636" s="1282"/>
      <c r="J636" s="1282" t="s">
        <v>903</v>
      </c>
      <c r="K636" s="1282"/>
      <c r="L636" s="1282"/>
      <c r="AC636" s="1342"/>
      <c r="AH636" s="274"/>
    </row>
    <row r="637">
      <c r="B637" s="1282"/>
      <c r="C637" s="1282"/>
      <c r="D637" s="1282"/>
      <c r="E637" s="351"/>
      <c r="F637" s="1282"/>
      <c r="G637" s="1282"/>
      <c r="H637" s="1282"/>
      <c r="I637" s="1282"/>
      <c r="J637" s="1282" t="s">
        <v>903</v>
      </c>
      <c r="K637" s="1282"/>
      <c r="L637" s="1282"/>
      <c r="AC637" s="1342"/>
      <c r="AH637" s="274"/>
    </row>
    <row r="638">
      <c r="B638" s="1282"/>
      <c r="C638" s="1282"/>
      <c r="D638" s="1282"/>
      <c r="E638" s="351"/>
      <c r="F638" s="1282"/>
      <c r="G638" s="1282"/>
      <c r="H638" s="1282"/>
      <c r="I638" s="1282"/>
      <c r="J638" s="1282" t="s">
        <v>903</v>
      </c>
      <c r="K638" s="1282"/>
      <c r="L638" s="1282"/>
      <c r="AC638" s="1342"/>
      <c r="AH638" s="274"/>
    </row>
    <row r="639">
      <c r="B639" s="1282"/>
      <c r="C639" s="1282"/>
      <c r="D639" s="1282"/>
      <c r="E639" s="351"/>
      <c r="F639" s="1282"/>
      <c r="G639" s="1282"/>
      <c r="H639" s="1282"/>
      <c r="I639" s="1282"/>
      <c r="J639" s="1282" t="s">
        <v>903</v>
      </c>
      <c r="K639" s="1282"/>
      <c r="L639" s="1282"/>
      <c r="AC639" s="1342"/>
      <c r="AH639" s="274"/>
    </row>
    <row r="640">
      <c r="B640" s="1282"/>
      <c r="C640" s="1282"/>
      <c r="D640" s="1282"/>
      <c r="E640" s="351"/>
      <c r="F640" s="1282"/>
      <c r="G640" s="1282"/>
      <c r="H640" s="1282"/>
      <c r="I640" s="1282"/>
      <c r="J640" s="1282" t="s">
        <v>903</v>
      </c>
      <c r="K640" s="1282"/>
      <c r="L640" s="1282"/>
      <c r="AC640" s="1342"/>
      <c r="AH640" s="274"/>
    </row>
    <row r="641">
      <c r="B641" s="1282"/>
      <c r="C641" s="1282"/>
      <c r="D641" s="1282"/>
      <c r="E641" s="351"/>
      <c r="F641" s="1282"/>
      <c r="G641" s="1282"/>
      <c r="H641" s="1282"/>
      <c r="I641" s="1282"/>
      <c r="J641" s="1282" t="s">
        <v>903</v>
      </c>
      <c r="K641" s="1282"/>
      <c r="L641" s="1282"/>
      <c r="AC641" s="1342"/>
      <c r="AH641" s="274"/>
    </row>
    <row r="642">
      <c r="B642" s="1282"/>
      <c r="C642" s="1282"/>
      <c r="D642" s="1282"/>
      <c r="E642" s="351"/>
      <c r="F642" s="1282"/>
      <c r="G642" s="1282"/>
      <c r="H642" s="1282"/>
      <c r="I642" s="1282"/>
      <c r="J642" s="1282" t="s">
        <v>903</v>
      </c>
      <c r="K642" s="1282"/>
      <c r="L642" s="1282"/>
      <c r="AC642" s="1342"/>
      <c r="AH642" s="274"/>
    </row>
    <row r="643">
      <c r="B643" s="1282"/>
      <c r="C643" s="1282"/>
      <c r="D643" s="1282"/>
      <c r="E643" s="351"/>
      <c r="F643" s="1282"/>
      <c r="G643" s="1282"/>
      <c r="H643" s="1282"/>
      <c r="I643" s="1282"/>
      <c r="J643" s="1282" t="s">
        <v>903</v>
      </c>
      <c r="K643" s="1282"/>
      <c r="L643" s="1282"/>
      <c r="AC643" s="1342"/>
      <c r="AH643" s="274"/>
    </row>
    <row r="644">
      <c r="B644" s="1282"/>
      <c r="C644" s="1282"/>
      <c r="D644" s="1282"/>
      <c r="E644" s="351"/>
      <c r="F644" s="1282"/>
      <c r="G644" s="1282"/>
      <c r="H644" s="1282"/>
      <c r="I644" s="1282"/>
      <c r="J644" s="1282" t="s">
        <v>903</v>
      </c>
      <c r="K644" s="1282"/>
      <c r="L644" s="1282"/>
      <c r="AC644" s="1342"/>
      <c r="AH644" s="274"/>
    </row>
    <row r="645">
      <c r="B645" s="1282"/>
      <c r="C645" s="1282"/>
      <c r="D645" s="1282"/>
      <c r="E645" s="351"/>
      <c r="F645" s="1282"/>
      <c r="G645" s="1282"/>
      <c r="H645" s="1282"/>
      <c r="I645" s="1282"/>
      <c r="J645" s="1282" t="s">
        <v>903</v>
      </c>
      <c r="K645" s="1282"/>
      <c r="L645" s="1282"/>
      <c r="AC645" s="1342"/>
      <c r="AH645" s="274"/>
    </row>
    <row r="646">
      <c r="B646" s="1282"/>
      <c r="C646" s="1282"/>
      <c r="D646" s="1282"/>
      <c r="E646" s="351"/>
      <c r="F646" s="1282"/>
      <c r="G646" s="1282"/>
      <c r="H646" s="1282"/>
      <c r="I646" s="1282"/>
      <c r="J646" s="1282" t="s">
        <v>903</v>
      </c>
      <c r="K646" s="1282"/>
      <c r="L646" s="1282"/>
      <c r="AC646" s="1342"/>
      <c r="AH646" s="274"/>
    </row>
    <row r="647">
      <c r="B647" s="1282"/>
      <c r="C647" s="1282"/>
      <c r="D647" s="1282"/>
      <c r="E647" s="351"/>
      <c r="F647" s="1282"/>
      <c r="G647" s="1282"/>
      <c r="H647" s="1282"/>
      <c r="I647" s="1282"/>
      <c r="J647" s="1282" t="s">
        <v>903</v>
      </c>
      <c r="K647" s="1282"/>
      <c r="L647" s="1282"/>
      <c r="AC647" s="1342"/>
      <c r="AH647" s="274"/>
    </row>
    <row r="648">
      <c r="B648" s="1282"/>
      <c r="C648" s="1282"/>
      <c r="D648" s="1282"/>
      <c r="E648" s="351"/>
      <c r="F648" s="1282"/>
      <c r="G648" s="1282"/>
      <c r="H648" s="1282"/>
      <c r="I648" s="1282"/>
      <c r="J648" s="1282" t="s">
        <v>903</v>
      </c>
      <c r="K648" s="1282"/>
      <c r="L648" s="1282"/>
      <c r="AC648" s="1342"/>
      <c r="AH648" s="274"/>
    </row>
    <row r="649">
      <c r="B649" s="1282"/>
      <c r="C649" s="1282"/>
      <c r="D649" s="1282"/>
      <c r="E649" s="351"/>
      <c r="F649" s="1282"/>
      <c r="G649" s="1282"/>
      <c r="H649" s="1282"/>
      <c r="I649" s="1282"/>
      <c r="J649" s="1282" t="s">
        <v>903</v>
      </c>
      <c r="K649" s="1282"/>
      <c r="L649" s="1282"/>
      <c r="AC649" s="1342"/>
      <c r="AH649" s="274"/>
    </row>
    <row r="650">
      <c r="B650" s="1282"/>
      <c r="C650" s="1282"/>
      <c r="D650" s="1282"/>
      <c r="E650" s="351"/>
      <c r="F650" s="1282"/>
      <c r="G650" s="1282"/>
      <c r="H650" s="1282"/>
      <c r="I650" s="1282"/>
      <c r="J650" s="1282" t="s">
        <v>903</v>
      </c>
      <c r="K650" s="1282"/>
      <c r="L650" s="1282"/>
      <c r="AC650" s="1342"/>
      <c r="AH650" s="274"/>
    </row>
    <row r="651">
      <c r="B651" s="1282"/>
      <c r="C651" s="1282"/>
      <c r="D651" s="1282"/>
      <c r="E651" s="351"/>
      <c r="F651" s="1282"/>
      <c r="G651" s="1282"/>
      <c r="H651" s="1282"/>
      <c r="I651" s="1282"/>
      <c r="J651" s="1282" t="s">
        <v>903</v>
      </c>
      <c r="K651" s="1282"/>
      <c r="L651" s="1282"/>
      <c r="AC651" s="1342"/>
      <c r="AH651" s="274"/>
    </row>
    <row r="652">
      <c r="B652" s="1282"/>
      <c r="C652" s="1282"/>
      <c r="D652" s="1282"/>
      <c r="E652" s="351"/>
      <c r="F652" s="1282"/>
      <c r="G652" s="1282"/>
      <c r="H652" s="1282"/>
      <c r="I652" s="1282"/>
      <c r="J652" s="1282" t="s">
        <v>903</v>
      </c>
      <c r="K652" s="1282"/>
      <c r="L652" s="1282"/>
      <c r="AC652" s="1342"/>
      <c r="AH652" s="274"/>
    </row>
    <row r="653">
      <c r="B653" s="1282"/>
      <c r="C653" s="1282"/>
      <c r="D653" s="1282"/>
      <c r="E653" s="351"/>
      <c r="F653" s="1282"/>
      <c r="G653" s="1282"/>
      <c r="H653" s="1282"/>
      <c r="I653" s="1282"/>
      <c r="J653" s="1282" t="s">
        <v>903</v>
      </c>
      <c r="K653" s="1282"/>
      <c r="L653" s="1282"/>
      <c r="AC653" s="1342"/>
      <c r="AH653" s="274"/>
    </row>
    <row r="654">
      <c r="B654" s="1282"/>
      <c r="C654" s="1282"/>
      <c r="D654" s="1282"/>
      <c r="E654" s="351"/>
      <c r="F654" s="1282"/>
      <c r="G654" s="1282"/>
      <c r="H654" s="1282"/>
      <c r="I654" s="1282"/>
      <c r="J654" s="1282" t="s">
        <v>903</v>
      </c>
      <c r="K654" s="1282"/>
      <c r="L654" s="1282"/>
      <c r="AC654" s="1342"/>
      <c r="AH654" s="274"/>
    </row>
    <row r="655">
      <c r="B655" s="1282"/>
      <c r="C655" s="1282"/>
      <c r="D655" s="1282"/>
      <c r="E655" s="351"/>
      <c r="F655" s="1282"/>
      <c r="G655" s="1282"/>
      <c r="H655" s="1282"/>
      <c r="I655" s="1282"/>
      <c r="J655" s="1282" t="s">
        <v>903</v>
      </c>
      <c r="K655" s="1282"/>
      <c r="L655" s="1282"/>
      <c r="AC655" s="1342"/>
      <c r="AH655" s="274"/>
    </row>
    <row r="656">
      <c r="B656" s="1282"/>
      <c r="C656" s="1282"/>
      <c r="D656" s="1282"/>
      <c r="E656" s="351"/>
      <c r="F656" s="1282"/>
      <c r="G656" s="1282"/>
      <c r="H656" s="1282"/>
      <c r="I656" s="1282"/>
      <c r="J656" s="1282" t="s">
        <v>903</v>
      </c>
      <c r="K656" s="1282"/>
      <c r="L656" s="1282"/>
      <c r="AC656" s="1342"/>
      <c r="AH656" s="274"/>
    </row>
    <row r="657">
      <c r="B657" s="1282"/>
      <c r="C657" s="1282"/>
      <c r="D657" s="1282"/>
      <c r="E657" s="351"/>
      <c r="F657" s="1282"/>
      <c r="G657" s="1282"/>
      <c r="H657" s="1282"/>
      <c r="I657" s="1282"/>
      <c r="J657" s="1282" t="s">
        <v>903</v>
      </c>
      <c r="K657" s="1282"/>
      <c r="L657" s="1282"/>
      <c r="AC657" s="1342"/>
      <c r="AH657" s="274"/>
    </row>
    <row r="658">
      <c r="B658" s="1282"/>
      <c r="C658" s="1282"/>
      <c r="D658" s="1282"/>
      <c r="E658" s="351"/>
      <c r="F658" s="1282"/>
      <c r="G658" s="1282"/>
      <c r="H658" s="1282"/>
      <c r="I658" s="1282"/>
      <c r="J658" s="1282" t="s">
        <v>903</v>
      </c>
      <c r="K658" s="1282"/>
      <c r="L658" s="1282"/>
      <c r="AC658" s="1342"/>
      <c r="AH658" s="274"/>
    </row>
    <row r="659">
      <c r="B659" s="1282"/>
      <c r="C659" s="1282"/>
      <c r="D659" s="1282"/>
      <c r="E659" s="351"/>
      <c r="F659" s="1282"/>
      <c r="G659" s="1282"/>
      <c r="H659" s="1282"/>
      <c r="I659" s="1282"/>
      <c r="J659" s="1282" t="s">
        <v>903</v>
      </c>
      <c r="K659" s="1282"/>
      <c r="L659" s="1282"/>
      <c r="AC659" s="1342"/>
      <c r="AH659" s="274"/>
    </row>
    <row r="660">
      <c r="B660" s="1282"/>
      <c r="C660" s="1282"/>
      <c r="D660" s="1282"/>
      <c r="E660" s="351"/>
      <c r="F660" s="1282"/>
      <c r="G660" s="1282"/>
      <c r="H660" s="1282"/>
      <c r="I660" s="1282"/>
      <c r="J660" s="1282" t="s">
        <v>903</v>
      </c>
      <c r="K660" s="1282"/>
      <c r="L660" s="1282"/>
      <c r="AC660" s="1342"/>
      <c r="AH660" s="274"/>
    </row>
    <row r="661">
      <c r="B661" s="1282"/>
      <c r="C661" s="1282"/>
      <c r="D661" s="1282"/>
      <c r="E661" s="351"/>
      <c r="F661" s="1282"/>
      <c r="G661" s="1282"/>
      <c r="H661" s="1282"/>
      <c r="I661" s="1282"/>
      <c r="J661" s="1282" t="s">
        <v>903</v>
      </c>
      <c r="K661" s="1282"/>
      <c r="L661" s="1282"/>
      <c r="AC661" s="1342"/>
      <c r="AH661" s="274"/>
    </row>
    <row r="662">
      <c r="B662" s="1282"/>
      <c r="C662" s="1282"/>
      <c r="D662" s="1282"/>
      <c r="E662" s="351"/>
      <c r="F662" s="1282"/>
      <c r="G662" s="1282"/>
      <c r="H662" s="1282"/>
      <c r="I662" s="1282"/>
      <c r="J662" s="1282" t="s">
        <v>903</v>
      </c>
      <c r="K662" s="1282"/>
      <c r="L662" s="1282"/>
      <c r="AC662" s="1342"/>
      <c r="AH662" s="274"/>
    </row>
    <row r="663">
      <c r="B663" s="1282"/>
      <c r="C663" s="1282"/>
      <c r="D663" s="1282"/>
      <c r="E663" s="351"/>
      <c r="F663" s="1282"/>
      <c r="G663" s="1282"/>
      <c r="H663" s="1282"/>
      <c r="I663" s="1282"/>
      <c r="J663" s="1282" t="s">
        <v>903</v>
      </c>
      <c r="K663" s="1282"/>
      <c r="L663" s="1282"/>
      <c r="AC663" s="1342"/>
      <c r="AH663" s="274"/>
    </row>
    <row r="664">
      <c r="B664" s="1282"/>
      <c r="C664" s="1282"/>
      <c r="D664" s="1282"/>
      <c r="E664" s="351"/>
      <c r="F664" s="1282"/>
      <c r="G664" s="1282"/>
      <c r="H664" s="1282"/>
      <c r="I664" s="1282"/>
      <c r="J664" s="1282" t="s">
        <v>903</v>
      </c>
      <c r="K664" s="1282"/>
      <c r="L664" s="1282"/>
      <c r="AC664" s="1342"/>
      <c r="AH664" s="274"/>
    </row>
    <row r="665">
      <c r="B665" s="1282"/>
      <c r="C665" s="1282"/>
      <c r="D665" s="1282"/>
      <c r="E665" s="351"/>
      <c r="F665" s="1282"/>
      <c r="G665" s="1282"/>
      <c r="H665" s="1282"/>
      <c r="I665" s="1282"/>
      <c r="J665" s="1282" t="s">
        <v>903</v>
      </c>
      <c r="K665" s="1282"/>
      <c r="L665" s="1282"/>
      <c r="AC665" s="1342"/>
      <c r="AH665" s="274"/>
    </row>
    <row r="666">
      <c r="B666" s="1282"/>
      <c r="C666" s="1282"/>
      <c r="D666" s="1282"/>
      <c r="E666" s="351"/>
      <c r="F666" s="1282"/>
      <c r="G666" s="1282"/>
      <c r="H666" s="1282"/>
      <c r="I666" s="1282"/>
      <c r="J666" s="1282" t="s">
        <v>903</v>
      </c>
      <c r="K666" s="1282"/>
      <c r="L666" s="1282"/>
      <c r="AC666" s="1342"/>
      <c r="AH666" s="274"/>
    </row>
    <row r="667">
      <c r="B667" s="1282"/>
      <c r="C667" s="1282"/>
      <c r="D667" s="1282"/>
      <c r="E667" s="351"/>
      <c r="F667" s="1282"/>
      <c r="G667" s="1282"/>
      <c r="H667" s="1282"/>
      <c r="I667" s="1282"/>
      <c r="J667" s="1282" t="s">
        <v>903</v>
      </c>
      <c r="K667" s="1282"/>
      <c r="L667" s="1282"/>
      <c r="AC667" s="1342"/>
      <c r="AH667" s="274"/>
    </row>
    <row r="668">
      <c r="B668" s="1282"/>
      <c r="C668" s="1282"/>
      <c r="D668" s="1282"/>
      <c r="E668" s="351"/>
      <c r="F668" s="1282"/>
      <c r="G668" s="1282"/>
      <c r="H668" s="1282"/>
      <c r="I668" s="1282"/>
      <c r="J668" s="1282" t="s">
        <v>903</v>
      </c>
      <c r="K668" s="1282"/>
      <c r="L668" s="1282"/>
      <c r="AC668" s="1342"/>
      <c r="AH668" s="274"/>
    </row>
    <row r="669">
      <c r="B669" s="1282"/>
      <c r="C669" s="1282"/>
      <c r="D669" s="1282"/>
      <c r="E669" s="351"/>
      <c r="F669" s="1282"/>
      <c r="G669" s="1282"/>
      <c r="H669" s="1282"/>
      <c r="I669" s="1282"/>
      <c r="J669" s="1282" t="s">
        <v>903</v>
      </c>
      <c r="K669" s="1282"/>
      <c r="L669" s="1282"/>
      <c r="AC669" s="1342"/>
      <c r="AH669" s="274"/>
    </row>
    <row r="670">
      <c r="B670" s="1282"/>
      <c r="C670" s="1282"/>
      <c r="D670" s="1282"/>
      <c r="E670" s="351"/>
      <c r="F670" s="1282"/>
      <c r="G670" s="1282"/>
      <c r="H670" s="1282"/>
      <c r="I670" s="1282"/>
      <c r="J670" s="1282" t="s">
        <v>903</v>
      </c>
      <c r="K670" s="1282"/>
      <c r="L670" s="1282"/>
      <c r="AC670" s="1342"/>
      <c r="AH670" s="274"/>
    </row>
    <row r="671">
      <c r="B671" s="1282"/>
      <c r="C671" s="1282"/>
      <c r="D671" s="1282"/>
      <c r="E671" s="351"/>
      <c r="F671" s="1282"/>
      <c r="G671" s="1282"/>
      <c r="H671" s="1282"/>
      <c r="I671" s="1282"/>
      <c r="J671" s="1282" t="s">
        <v>903</v>
      </c>
      <c r="K671" s="1282"/>
      <c r="L671" s="1282"/>
      <c r="AC671" s="1342"/>
      <c r="AH671" s="274"/>
    </row>
    <row r="672">
      <c r="B672" s="1282"/>
      <c r="C672" s="1282"/>
      <c r="D672" s="1282"/>
      <c r="E672" s="351"/>
      <c r="F672" s="1282"/>
      <c r="G672" s="1282"/>
      <c r="H672" s="1282"/>
      <c r="I672" s="1282"/>
      <c r="J672" s="1282" t="s">
        <v>903</v>
      </c>
      <c r="K672" s="1282"/>
      <c r="L672" s="1282"/>
      <c r="AC672" s="1342"/>
      <c r="AH672" s="274"/>
    </row>
    <row r="673">
      <c r="B673" s="1282"/>
      <c r="C673" s="1282"/>
      <c r="D673" s="1282"/>
      <c r="E673" s="351"/>
      <c r="F673" s="1282"/>
      <c r="G673" s="1282"/>
      <c r="H673" s="1282"/>
      <c r="I673" s="1282"/>
      <c r="J673" s="1282" t="s">
        <v>903</v>
      </c>
      <c r="K673" s="1282"/>
      <c r="L673" s="1282"/>
      <c r="AC673" s="1342"/>
      <c r="AH673" s="274"/>
    </row>
    <row r="674">
      <c r="B674" s="1282"/>
      <c r="C674" s="1282"/>
      <c r="D674" s="1282"/>
      <c r="E674" s="351"/>
      <c r="F674" s="1282"/>
      <c r="G674" s="1282"/>
      <c r="H674" s="1282"/>
      <c r="I674" s="1282"/>
      <c r="J674" s="1282" t="s">
        <v>903</v>
      </c>
      <c r="K674" s="1282"/>
      <c r="L674" s="1282"/>
      <c r="AC674" s="1342"/>
      <c r="AH674" s="274"/>
    </row>
    <row r="675">
      <c r="B675" s="1282"/>
      <c r="C675" s="1282"/>
      <c r="D675" s="1282"/>
      <c r="E675" s="351"/>
      <c r="F675" s="1282"/>
      <c r="G675" s="1282"/>
      <c r="H675" s="1282"/>
      <c r="I675" s="1282"/>
      <c r="J675" s="1282" t="s">
        <v>903</v>
      </c>
      <c r="K675" s="1282"/>
      <c r="L675" s="1282"/>
      <c r="AC675" s="1342"/>
      <c r="AH675" s="274"/>
    </row>
    <row r="676">
      <c r="B676" s="1282"/>
      <c r="C676" s="1282"/>
      <c r="D676" s="1282"/>
      <c r="E676" s="351"/>
      <c r="F676" s="1282"/>
      <c r="G676" s="1282"/>
      <c r="H676" s="1282"/>
      <c r="I676" s="1282"/>
      <c r="J676" s="1282" t="s">
        <v>903</v>
      </c>
      <c r="K676" s="1282"/>
      <c r="L676" s="1282"/>
      <c r="AC676" s="1342"/>
      <c r="AH676" s="274"/>
    </row>
    <row r="677">
      <c r="B677" s="1282"/>
      <c r="C677" s="1282"/>
      <c r="D677" s="1282"/>
      <c r="E677" s="351"/>
      <c r="F677" s="1282"/>
      <c r="G677" s="1282"/>
      <c r="H677" s="1282"/>
      <c r="I677" s="1282"/>
      <c r="J677" s="1282" t="s">
        <v>903</v>
      </c>
      <c r="K677" s="1282"/>
      <c r="L677" s="1282"/>
      <c r="AC677" s="1342"/>
      <c r="AH677" s="274"/>
    </row>
    <row r="678">
      <c r="B678" s="1282"/>
      <c r="C678" s="1282"/>
      <c r="D678" s="1282"/>
      <c r="E678" s="351"/>
      <c r="F678" s="1282"/>
      <c r="G678" s="1282"/>
      <c r="H678" s="1282"/>
      <c r="I678" s="1282"/>
      <c r="J678" s="1282" t="s">
        <v>903</v>
      </c>
      <c r="K678" s="1282"/>
      <c r="L678" s="1282"/>
      <c r="AC678" s="1342"/>
      <c r="AH678" s="274"/>
    </row>
    <row r="679">
      <c r="B679" s="1282"/>
      <c r="C679" s="1282"/>
      <c r="D679" s="1282"/>
      <c r="E679" s="351"/>
      <c r="F679" s="1282"/>
      <c r="G679" s="1282"/>
      <c r="H679" s="1282"/>
      <c r="I679" s="1282"/>
      <c r="J679" s="1282" t="s">
        <v>903</v>
      </c>
      <c r="K679" s="1282"/>
      <c r="L679" s="1282"/>
      <c r="AC679" s="1342"/>
      <c r="AH679" s="274"/>
    </row>
    <row r="680">
      <c r="B680" s="1282"/>
      <c r="C680" s="1282"/>
      <c r="D680" s="1282"/>
      <c r="E680" s="351"/>
      <c r="F680" s="1282"/>
      <c r="G680" s="1282"/>
      <c r="H680" s="1282"/>
      <c r="I680" s="1282"/>
      <c r="J680" s="1282" t="s">
        <v>903</v>
      </c>
      <c r="K680" s="1282"/>
      <c r="L680" s="1282"/>
      <c r="AC680" s="1342"/>
      <c r="AH680" s="274"/>
    </row>
    <row r="681">
      <c r="B681" s="1282"/>
      <c r="C681" s="1282"/>
      <c r="D681" s="1282"/>
      <c r="E681" s="351"/>
      <c r="F681" s="1282"/>
      <c r="G681" s="1282"/>
      <c r="H681" s="1282"/>
      <c r="I681" s="1282"/>
      <c r="J681" s="1282" t="s">
        <v>903</v>
      </c>
      <c r="K681" s="1282"/>
      <c r="L681" s="1282"/>
      <c r="AC681" s="1342"/>
      <c r="AH681" s="274"/>
    </row>
    <row r="682">
      <c r="B682" s="1282"/>
      <c r="C682" s="1282"/>
      <c r="D682" s="1282"/>
      <c r="E682" s="351"/>
      <c r="F682" s="1282"/>
      <c r="G682" s="1282"/>
      <c r="H682" s="1282"/>
      <c r="I682" s="1282"/>
      <c r="J682" s="1282" t="s">
        <v>903</v>
      </c>
      <c r="K682" s="1282"/>
      <c r="L682" s="1282"/>
      <c r="AC682" s="1342"/>
      <c r="AH682" s="274"/>
    </row>
    <row r="683">
      <c r="B683" s="1282"/>
      <c r="C683" s="1282"/>
      <c r="D683" s="1282"/>
      <c r="E683" s="351"/>
      <c r="F683" s="1282"/>
      <c r="G683" s="1282"/>
      <c r="H683" s="1282"/>
      <c r="I683" s="1282"/>
      <c r="J683" s="1282" t="s">
        <v>903</v>
      </c>
      <c r="K683" s="1282"/>
      <c r="L683" s="1282"/>
      <c r="AC683" s="1342"/>
      <c r="AH683" s="274"/>
    </row>
    <row r="684">
      <c r="B684" s="1282"/>
      <c r="C684" s="1282"/>
      <c r="D684" s="1282"/>
      <c r="E684" s="351"/>
      <c r="F684" s="1282"/>
      <c r="G684" s="1282"/>
      <c r="H684" s="1282"/>
      <c r="I684" s="1282"/>
      <c r="J684" s="1282" t="s">
        <v>903</v>
      </c>
      <c r="K684" s="1282"/>
      <c r="L684" s="1282"/>
      <c r="AC684" s="1342"/>
      <c r="AH684" s="274"/>
    </row>
    <row r="685">
      <c r="B685" s="1282"/>
      <c r="C685" s="1282"/>
      <c r="D685" s="1282"/>
      <c r="E685" s="351"/>
      <c r="F685" s="1282"/>
      <c r="G685" s="1282"/>
      <c r="H685" s="1282"/>
      <c r="I685" s="1282"/>
      <c r="J685" s="1282" t="s">
        <v>903</v>
      </c>
      <c r="K685" s="1282"/>
      <c r="L685" s="1282"/>
      <c r="AC685" s="1342"/>
      <c r="AH685" s="274"/>
    </row>
    <row r="686">
      <c r="B686" s="1282"/>
      <c r="C686" s="1282"/>
      <c r="D686" s="1282"/>
      <c r="E686" s="351"/>
      <c r="F686" s="1282"/>
      <c r="G686" s="1282"/>
      <c r="H686" s="1282"/>
      <c r="I686" s="1282"/>
      <c r="J686" s="1282" t="s">
        <v>903</v>
      </c>
      <c r="K686" s="1282"/>
      <c r="L686" s="1282"/>
      <c r="AC686" s="1342"/>
      <c r="AH686" s="274"/>
    </row>
    <row r="687">
      <c r="B687" s="1282"/>
      <c r="C687" s="1282"/>
      <c r="D687" s="1282"/>
      <c r="E687" s="351"/>
      <c r="F687" s="1282"/>
      <c r="G687" s="1282"/>
      <c r="H687" s="1282"/>
      <c r="I687" s="1282"/>
      <c r="J687" s="1282" t="s">
        <v>903</v>
      </c>
      <c r="K687" s="1282"/>
      <c r="L687" s="1282"/>
      <c r="AC687" s="1342"/>
      <c r="AH687" s="274"/>
    </row>
    <row r="688">
      <c r="B688" s="1282"/>
      <c r="C688" s="1282"/>
      <c r="D688" s="1282"/>
      <c r="E688" s="351"/>
      <c r="F688" s="1282"/>
      <c r="G688" s="1282"/>
      <c r="H688" s="1282"/>
      <c r="I688" s="1282"/>
      <c r="J688" s="1282" t="s">
        <v>903</v>
      </c>
      <c r="K688" s="1282"/>
      <c r="L688" s="1282"/>
      <c r="AC688" s="1342"/>
      <c r="AH688" s="274"/>
    </row>
    <row r="689">
      <c r="B689" s="1282"/>
      <c r="C689" s="1282"/>
      <c r="D689" s="1282"/>
      <c r="E689" s="351"/>
      <c r="F689" s="1282"/>
      <c r="G689" s="1282"/>
      <c r="H689" s="1282"/>
      <c r="I689" s="1282"/>
      <c r="J689" s="1282" t="s">
        <v>903</v>
      </c>
      <c r="K689" s="1282"/>
      <c r="L689" s="1282"/>
      <c r="AC689" s="1342"/>
      <c r="AH689" s="274"/>
    </row>
    <row r="690">
      <c r="B690" s="1282"/>
      <c r="C690" s="1282"/>
      <c r="D690" s="1282"/>
      <c r="E690" s="351"/>
      <c r="F690" s="1282"/>
      <c r="G690" s="1282"/>
      <c r="H690" s="1282"/>
      <c r="I690" s="1282"/>
      <c r="J690" s="1282" t="s">
        <v>903</v>
      </c>
      <c r="K690" s="1282"/>
      <c r="L690" s="1282"/>
      <c r="AC690" s="1342"/>
      <c r="AH690" s="274"/>
    </row>
    <row r="691">
      <c r="B691" s="1282"/>
      <c r="C691" s="1282"/>
      <c r="D691" s="1282"/>
      <c r="E691" s="351"/>
      <c r="F691" s="1282"/>
      <c r="G691" s="1282"/>
      <c r="H691" s="1282"/>
      <c r="I691" s="1282"/>
      <c r="J691" s="1282" t="s">
        <v>903</v>
      </c>
      <c r="K691" s="1282"/>
      <c r="L691" s="1282"/>
      <c r="AC691" s="1342"/>
      <c r="AH691" s="274"/>
    </row>
    <row r="692">
      <c r="B692" s="1282"/>
      <c r="C692" s="1282"/>
      <c r="D692" s="1282"/>
      <c r="E692" s="351"/>
      <c r="F692" s="1282"/>
      <c r="G692" s="1282"/>
      <c r="H692" s="1282"/>
      <c r="I692" s="1282"/>
      <c r="J692" s="1282" t="s">
        <v>903</v>
      </c>
      <c r="K692" s="1282"/>
      <c r="L692" s="1282"/>
      <c r="AC692" s="1342"/>
      <c r="AH692" s="274"/>
    </row>
    <row r="693">
      <c r="B693" s="1282"/>
      <c r="C693" s="1282"/>
      <c r="D693" s="1282"/>
      <c r="E693" s="351"/>
      <c r="F693" s="1282"/>
      <c r="G693" s="1282"/>
      <c r="H693" s="1282"/>
      <c r="I693" s="1282"/>
      <c r="J693" s="1282" t="s">
        <v>903</v>
      </c>
      <c r="K693" s="1282"/>
      <c r="L693" s="1282"/>
      <c r="AC693" s="1342"/>
      <c r="AH693" s="274"/>
    </row>
    <row r="694">
      <c r="B694" s="1282"/>
      <c r="C694" s="1282"/>
      <c r="D694" s="1282"/>
      <c r="E694" s="351"/>
      <c r="F694" s="1282"/>
      <c r="G694" s="1282"/>
      <c r="H694" s="1282"/>
      <c r="I694" s="1282"/>
      <c r="J694" s="1282" t="s">
        <v>903</v>
      </c>
      <c r="K694" s="1282"/>
      <c r="L694" s="1282"/>
      <c r="AC694" s="1342"/>
      <c r="AH694" s="274"/>
    </row>
    <row r="695">
      <c r="B695" s="1282"/>
      <c r="C695" s="1282"/>
      <c r="D695" s="1282"/>
      <c r="E695" s="351"/>
      <c r="F695" s="1282"/>
      <c r="G695" s="1282"/>
      <c r="H695" s="1282"/>
      <c r="I695" s="1282"/>
      <c r="J695" s="1282" t="s">
        <v>903</v>
      </c>
      <c r="K695" s="1282"/>
      <c r="L695" s="1282"/>
      <c r="AC695" s="1342"/>
      <c r="AH695" s="274"/>
    </row>
    <row r="696">
      <c r="B696" s="1282"/>
      <c r="C696" s="1282"/>
      <c r="D696" s="1282"/>
      <c r="E696" s="351"/>
      <c r="F696" s="1282"/>
      <c r="G696" s="1282"/>
      <c r="H696" s="1282"/>
      <c r="I696" s="1282"/>
      <c r="J696" s="1282" t="s">
        <v>903</v>
      </c>
      <c r="K696" s="1282"/>
      <c r="L696" s="1282"/>
      <c r="AC696" s="1342"/>
      <c r="AH696" s="274"/>
    </row>
    <row r="697">
      <c r="B697" s="1282"/>
      <c r="C697" s="1282"/>
      <c r="D697" s="1282"/>
      <c r="E697" s="351"/>
      <c r="F697" s="1282"/>
      <c r="G697" s="1282"/>
      <c r="H697" s="1282"/>
      <c r="I697" s="1282"/>
      <c r="J697" s="1282" t="s">
        <v>903</v>
      </c>
      <c r="K697" s="1282"/>
      <c r="L697" s="1282"/>
      <c r="AC697" s="1342"/>
      <c r="AH697" s="274"/>
    </row>
    <row r="698">
      <c r="B698" s="1282"/>
      <c r="C698" s="1282"/>
      <c r="D698" s="1282"/>
      <c r="E698" s="351"/>
      <c r="F698" s="1282"/>
      <c r="G698" s="1282"/>
      <c r="H698" s="1282"/>
      <c r="I698" s="1282"/>
      <c r="J698" s="1282" t="s">
        <v>903</v>
      </c>
      <c r="K698" s="1282"/>
      <c r="L698" s="1282"/>
      <c r="AC698" s="1342"/>
      <c r="AH698" s="274"/>
    </row>
    <row r="699">
      <c r="B699" s="1282"/>
      <c r="C699" s="1282"/>
      <c r="D699" s="1282"/>
      <c r="E699" s="351"/>
      <c r="F699" s="1282"/>
      <c r="G699" s="1282"/>
      <c r="H699" s="1282"/>
      <c r="I699" s="1282"/>
      <c r="J699" s="1282" t="s">
        <v>903</v>
      </c>
      <c r="K699" s="1282"/>
      <c r="L699" s="1282"/>
      <c r="AC699" s="1342"/>
      <c r="AH699" s="274"/>
    </row>
    <row r="700">
      <c r="B700" s="1282"/>
      <c r="C700" s="1282"/>
      <c r="D700" s="1282"/>
      <c r="E700" s="351"/>
      <c r="F700" s="1282"/>
      <c r="G700" s="1282"/>
      <c r="H700" s="1282"/>
      <c r="I700" s="1282"/>
      <c r="J700" s="1282" t="s">
        <v>903</v>
      </c>
      <c r="K700" s="1282"/>
      <c r="L700" s="1282"/>
      <c r="AC700" s="1342"/>
      <c r="AH700" s="274"/>
    </row>
    <row r="701">
      <c r="B701" s="1282"/>
      <c r="C701" s="1282"/>
      <c r="D701" s="1282"/>
      <c r="E701" s="351"/>
      <c r="F701" s="1282"/>
      <c r="G701" s="1282"/>
      <c r="H701" s="1282"/>
      <c r="I701" s="1282"/>
      <c r="J701" s="1282" t="s">
        <v>903</v>
      </c>
      <c r="K701" s="1282"/>
      <c r="L701" s="1282"/>
      <c r="AC701" s="1342"/>
      <c r="AH701" s="274"/>
    </row>
    <row r="702">
      <c r="B702" s="1282"/>
      <c r="C702" s="1282"/>
      <c r="D702" s="1282"/>
      <c r="E702" s="351"/>
      <c r="F702" s="1282"/>
      <c r="G702" s="1282"/>
      <c r="H702" s="1282"/>
      <c r="I702" s="1282"/>
      <c r="J702" s="1282" t="s">
        <v>903</v>
      </c>
      <c r="K702" s="1282"/>
      <c r="L702" s="1282"/>
      <c r="AC702" s="1342"/>
      <c r="AH702" s="274"/>
    </row>
    <row r="703">
      <c r="B703" s="1282"/>
      <c r="C703" s="1282"/>
      <c r="D703" s="1282"/>
      <c r="E703" s="351"/>
      <c r="F703" s="1282"/>
      <c r="G703" s="1282"/>
      <c r="H703" s="1282"/>
      <c r="I703" s="1282"/>
      <c r="J703" s="1282" t="s">
        <v>903</v>
      </c>
      <c r="K703" s="1282"/>
      <c r="L703" s="1282"/>
      <c r="AC703" s="1342"/>
      <c r="AH703" s="274"/>
    </row>
    <row r="704">
      <c r="B704" s="1282"/>
      <c r="C704" s="1282"/>
      <c r="D704" s="1282"/>
      <c r="E704" s="351"/>
      <c r="F704" s="1282"/>
      <c r="G704" s="1282"/>
      <c r="H704" s="1282"/>
      <c r="I704" s="1282"/>
      <c r="J704" s="1282" t="s">
        <v>903</v>
      </c>
      <c r="K704" s="1282"/>
      <c r="L704" s="1282"/>
      <c r="AC704" s="1342"/>
      <c r="AH704" s="274"/>
    </row>
    <row r="705">
      <c r="B705" s="1282"/>
      <c r="C705" s="1282"/>
      <c r="D705" s="1282"/>
      <c r="E705" s="351"/>
      <c r="F705" s="1282"/>
      <c r="G705" s="1282"/>
      <c r="H705" s="1282"/>
      <c r="I705" s="1282"/>
      <c r="J705" s="1282" t="s">
        <v>903</v>
      </c>
      <c r="K705" s="1282"/>
      <c r="L705" s="1282"/>
      <c r="AC705" s="1342"/>
      <c r="AH705" s="274"/>
    </row>
    <row r="706">
      <c r="B706" s="1282"/>
      <c r="C706" s="1282"/>
      <c r="D706" s="1282"/>
      <c r="E706" s="351"/>
      <c r="F706" s="1282"/>
      <c r="G706" s="1282"/>
      <c r="H706" s="1282"/>
      <c r="I706" s="1282"/>
      <c r="J706" s="1282" t="s">
        <v>903</v>
      </c>
      <c r="K706" s="1282"/>
      <c r="L706" s="1282"/>
      <c r="AC706" s="1342"/>
      <c r="AH706" s="274"/>
    </row>
    <row r="707">
      <c r="B707" s="1282"/>
      <c r="C707" s="1282"/>
      <c r="D707" s="1282"/>
      <c r="E707" s="351"/>
      <c r="F707" s="1282"/>
      <c r="G707" s="1282"/>
      <c r="H707" s="1282"/>
      <c r="I707" s="1282"/>
      <c r="J707" s="1282" t="s">
        <v>903</v>
      </c>
      <c r="K707" s="1282"/>
      <c r="L707" s="1282"/>
      <c r="AC707" s="1342"/>
      <c r="AH707" s="274"/>
    </row>
    <row r="708">
      <c r="B708" s="1282"/>
      <c r="C708" s="1282"/>
      <c r="D708" s="1282"/>
      <c r="E708" s="351"/>
      <c r="F708" s="1282"/>
      <c r="G708" s="1282"/>
      <c r="H708" s="1282"/>
      <c r="I708" s="1282"/>
      <c r="J708" s="1282" t="s">
        <v>903</v>
      </c>
      <c r="K708" s="1282"/>
      <c r="L708" s="1282"/>
      <c r="AC708" s="1342"/>
      <c r="AH708" s="274"/>
    </row>
    <row r="709">
      <c r="B709" s="1282"/>
      <c r="C709" s="1282"/>
      <c r="D709" s="1282"/>
      <c r="E709" s="351"/>
      <c r="F709" s="1282"/>
      <c r="G709" s="1282"/>
      <c r="H709" s="1282"/>
      <c r="I709" s="1282"/>
      <c r="J709" s="1282" t="s">
        <v>903</v>
      </c>
      <c r="K709" s="1282"/>
      <c r="L709" s="1282"/>
      <c r="AC709" s="1342"/>
      <c r="AH709" s="274"/>
    </row>
    <row r="710">
      <c r="B710" s="1282"/>
      <c r="C710" s="1282"/>
      <c r="D710" s="1282"/>
      <c r="E710" s="351"/>
      <c r="F710" s="1282"/>
      <c r="G710" s="1282"/>
      <c r="H710" s="1282"/>
      <c r="I710" s="1282"/>
      <c r="J710" s="1282" t="s">
        <v>903</v>
      </c>
      <c r="K710" s="1282"/>
      <c r="L710" s="1282"/>
      <c r="AC710" s="1342"/>
      <c r="AH710" s="274"/>
    </row>
    <row r="711">
      <c r="B711" s="1282"/>
      <c r="C711" s="1282"/>
      <c r="D711" s="1282"/>
      <c r="E711" s="351"/>
      <c r="F711" s="1282"/>
      <c r="G711" s="1282"/>
      <c r="H711" s="1282"/>
      <c r="I711" s="1282"/>
      <c r="J711" s="1282" t="s">
        <v>903</v>
      </c>
      <c r="K711" s="1282"/>
      <c r="L711" s="1282"/>
      <c r="AC711" s="1342"/>
      <c r="AH711" s="274"/>
    </row>
    <row r="712">
      <c r="B712" s="1282"/>
      <c r="C712" s="1282"/>
      <c r="D712" s="1282"/>
      <c r="E712" s="351"/>
      <c r="F712" s="1282"/>
      <c r="G712" s="1282"/>
      <c r="H712" s="1282"/>
      <c r="I712" s="1282"/>
      <c r="J712" s="1282" t="s">
        <v>903</v>
      </c>
      <c r="K712" s="1282"/>
      <c r="L712" s="1282"/>
      <c r="AC712" s="1342"/>
      <c r="AH712" s="274"/>
    </row>
    <row r="713">
      <c r="B713" s="1282"/>
      <c r="C713" s="1282"/>
      <c r="D713" s="1282"/>
      <c r="E713" s="351"/>
      <c r="F713" s="1282"/>
      <c r="G713" s="1282"/>
      <c r="H713" s="1282"/>
      <c r="I713" s="1282"/>
      <c r="J713" s="1282" t="s">
        <v>903</v>
      </c>
      <c r="K713" s="1282"/>
      <c r="L713" s="1282"/>
      <c r="AC713" s="1342"/>
      <c r="AH713" s="274"/>
    </row>
    <row r="714">
      <c r="B714" s="1282"/>
      <c r="C714" s="1282"/>
      <c r="D714" s="1282"/>
      <c r="E714" s="351"/>
      <c r="F714" s="1282"/>
      <c r="G714" s="1282"/>
      <c r="H714" s="1282"/>
      <c r="I714" s="1282"/>
      <c r="J714" s="1282" t="s">
        <v>903</v>
      </c>
      <c r="K714" s="1282"/>
      <c r="L714" s="1282"/>
      <c r="AC714" s="1342"/>
      <c r="AH714" s="274"/>
    </row>
    <row r="715">
      <c r="B715" s="1282"/>
      <c r="C715" s="1282"/>
      <c r="D715" s="1282"/>
      <c r="E715" s="351"/>
      <c r="F715" s="1282"/>
      <c r="G715" s="1282"/>
      <c r="H715" s="1282"/>
      <c r="I715" s="1282"/>
      <c r="J715" s="1282" t="s">
        <v>903</v>
      </c>
      <c r="K715" s="1282"/>
      <c r="L715" s="1282"/>
      <c r="AC715" s="1342"/>
      <c r="AH715" s="274"/>
    </row>
    <row r="716">
      <c r="B716" s="1282"/>
      <c r="C716" s="1282"/>
      <c r="D716" s="1282"/>
      <c r="E716" s="351"/>
      <c r="F716" s="1282"/>
      <c r="G716" s="1282"/>
      <c r="H716" s="1282"/>
      <c r="I716" s="1282"/>
      <c r="J716" s="1282" t="s">
        <v>903</v>
      </c>
      <c r="K716" s="1282"/>
      <c r="L716" s="1282"/>
      <c r="AC716" s="1342"/>
      <c r="AH716" s="274"/>
    </row>
    <row r="717">
      <c r="B717" s="1282"/>
      <c r="C717" s="1282"/>
      <c r="D717" s="1282"/>
      <c r="E717" s="351"/>
      <c r="F717" s="1282"/>
      <c r="G717" s="1282"/>
      <c r="H717" s="1282"/>
      <c r="I717" s="1282"/>
      <c r="J717" s="1282" t="s">
        <v>903</v>
      </c>
      <c r="K717" s="1282"/>
      <c r="L717" s="1282"/>
      <c r="AC717" s="1342"/>
      <c r="AH717" s="274"/>
    </row>
    <row r="718">
      <c r="B718" s="1282"/>
      <c r="C718" s="1282"/>
      <c r="D718" s="1282"/>
      <c r="E718" s="351"/>
      <c r="F718" s="1282"/>
      <c r="G718" s="1282"/>
      <c r="H718" s="1282"/>
      <c r="I718" s="1282"/>
      <c r="J718" s="1282" t="s">
        <v>903</v>
      </c>
      <c r="K718" s="1282"/>
      <c r="L718" s="1282"/>
      <c r="AC718" s="1342"/>
      <c r="AH718" s="274"/>
    </row>
    <row r="719">
      <c r="B719" s="1282"/>
      <c r="C719" s="1282"/>
      <c r="D719" s="1282"/>
      <c r="E719" s="351"/>
      <c r="F719" s="1282"/>
      <c r="G719" s="1282"/>
      <c r="H719" s="1282"/>
      <c r="I719" s="1282"/>
      <c r="J719" s="1282" t="s">
        <v>903</v>
      </c>
      <c r="K719" s="1282"/>
      <c r="L719" s="1282"/>
      <c r="AC719" s="1342"/>
      <c r="AH719" s="274"/>
    </row>
    <row r="720">
      <c r="B720" s="1282"/>
      <c r="C720" s="1282"/>
      <c r="D720" s="1282"/>
      <c r="E720" s="351"/>
      <c r="F720" s="1282"/>
      <c r="G720" s="1282"/>
      <c r="H720" s="1282"/>
      <c r="I720" s="1282"/>
      <c r="J720" s="1282" t="s">
        <v>903</v>
      </c>
      <c r="K720" s="1282"/>
      <c r="L720" s="1282"/>
      <c r="AC720" s="1342"/>
      <c r="AH720" s="274"/>
    </row>
    <row r="721">
      <c r="B721" s="1282"/>
      <c r="C721" s="1282"/>
      <c r="D721" s="1282"/>
      <c r="E721" s="351"/>
      <c r="F721" s="1282"/>
      <c r="G721" s="1282"/>
      <c r="H721" s="1282"/>
      <c r="I721" s="1282"/>
      <c r="J721" s="1282" t="s">
        <v>903</v>
      </c>
      <c r="K721" s="1282"/>
      <c r="L721" s="1282"/>
      <c r="AC721" s="1342"/>
      <c r="AH721" s="274"/>
    </row>
    <row r="722">
      <c r="B722" s="1282"/>
      <c r="C722" s="1282"/>
      <c r="D722" s="1282"/>
      <c r="E722" s="351"/>
      <c r="F722" s="1282"/>
      <c r="G722" s="1282"/>
      <c r="H722" s="1282"/>
      <c r="I722" s="1282"/>
      <c r="J722" s="1282" t="s">
        <v>903</v>
      </c>
      <c r="K722" s="1282"/>
      <c r="L722" s="1282"/>
      <c r="AC722" s="1342"/>
      <c r="AH722" s="274"/>
    </row>
    <row r="723">
      <c r="B723" s="1282"/>
      <c r="C723" s="1282"/>
      <c r="D723" s="1282"/>
      <c r="E723" s="351"/>
      <c r="F723" s="1282"/>
      <c r="G723" s="1282"/>
      <c r="H723" s="1282"/>
      <c r="I723" s="1282"/>
      <c r="J723" s="1282" t="s">
        <v>903</v>
      </c>
      <c r="K723" s="1282"/>
      <c r="L723" s="1282"/>
      <c r="AC723" s="1342"/>
      <c r="AH723" s="274"/>
    </row>
    <row r="724">
      <c r="B724" s="1282"/>
      <c r="C724" s="1282"/>
      <c r="D724" s="1282"/>
      <c r="E724" s="351"/>
      <c r="F724" s="1282"/>
      <c r="G724" s="1282"/>
      <c r="H724" s="1282"/>
      <c r="I724" s="1282"/>
      <c r="J724" s="1282" t="s">
        <v>903</v>
      </c>
      <c r="K724" s="1282"/>
      <c r="L724" s="1282"/>
      <c r="AC724" s="1342"/>
      <c r="AH724" s="274"/>
    </row>
    <row r="725">
      <c r="B725" s="1282"/>
      <c r="C725" s="1282"/>
      <c r="D725" s="1282"/>
      <c r="E725" s="351"/>
      <c r="F725" s="1282"/>
      <c r="G725" s="1282"/>
      <c r="H725" s="1282"/>
      <c r="I725" s="1282"/>
      <c r="J725" s="1282" t="s">
        <v>903</v>
      </c>
      <c r="K725" s="1282"/>
      <c r="L725" s="1282"/>
      <c r="AC725" s="1342"/>
      <c r="AH725" s="274"/>
    </row>
    <row r="726">
      <c r="B726" s="1282"/>
      <c r="C726" s="1282"/>
      <c r="D726" s="1282"/>
      <c r="E726" s="351"/>
      <c r="F726" s="1282"/>
      <c r="G726" s="1282"/>
      <c r="H726" s="1282"/>
      <c r="I726" s="1282"/>
      <c r="J726" s="1282" t="s">
        <v>903</v>
      </c>
      <c r="K726" s="1282"/>
      <c r="L726" s="1282"/>
      <c r="AC726" s="1342"/>
      <c r="AH726" s="274"/>
    </row>
    <row r="727">
      <c r="B727" s="1282"/>
      <c r="C727" s="1282"/>
      <c r="D727" s="1282"/>
      <c r="E727" s="351"/>
      <c r="F727" s="1282"/>
      <c r="G727" s="1282"/>
      <c r="H727" s="1282"/>
      <c r="I727" s="1282"/>
      <c r="J727" s="1282" t="s">
        <v>903</v>
      </c>
      <c r="K727" s="1282"/>
      <c r="L727" s="1282"/>
      <c r="AC727" s="1342"/>
      <c r="AH727" s="274"/>
    </row>
    <row r="728">
      <c r="B728" s="1282"/>
      <c r="C728" s="1282"/>
      <c r="D728" s="1282"/>
      <c r="E728" s="351"/>
      <c r="F728" s="1282"/>
      <c r="G728" s="1282"/>
      <c r="H728" s="1282"/>
      <c r="I728" s="1282"/>
      <c r="J728" s="1282" t="s">
        <v>903</v>
      </c>
      <c r="K728" s="1282"/>
      <c r="L728" s="1282"/>
      <c r="AC728" s="1342"/>
      <c r="AH728" s="274"/>
    </row>
    <row r="729">
      <c r="B729" s="1282"/>
      <c r="C729" s="1282"/>
      <c r="D729" s="1282"/>
      <c r="E729" s="351"/>
      <c r="F729" s="1282"/>
      <c r="G729" s="1282"/>
      <c r="H729" s="1282"/>
      <c r="I729" s="1282"/>
      <c r="J729" s="1282" t="s">
        <v>903</v>
      </c>
      <c r="K729" s="1282"/>
      <c r="L729" s="1282"/>
      <c r="AC729" s="1342"/>
      <c r="AH729" s="274"/>
    </row>
    <row r="730">
      <c r="B730" s="1282"/>
      <c r="C730" s="1282"/>
      <c r="D730" s="1282"/>
      <c r="E730" s="351"/>
      <c r="F730" s="1282"/>
      <c r="G730" s="1282"/>
      <c r="H730" s="1282"/>
      <c r="I730" s="1282"/>
      <c r="J730" s="1282" t="s">
        <v>903</v>
      </c>
      <c r="K730" s="1282"/>
      <c r="L730" s="1282"/>
      <c r="AC730" s="1342"/>
      <c r="AH730" s="274"/>
    </row>
    <row r="731">
      <c r="B731" s="1282"/>
      <c r="C731" s="1282"/>
      <c r="D731" s="1282"/>
      <c r="E731" s="351"/>
      <c r="F731" s="1282"/>
      <c r="G731" s="1282"/>
      <c r="H731" s="1282"/>
      <c r="I731" s="1282"/>
      <c r="J731" s="1282" t="s">
        <v>903</v>
      </c>
      <c r="K731" s="1282"/>
      <c r="L731" s="1282"/>
      <c r="AC731" s="1342"/>
      <c r="AH731" s="274"/>
    </row>
    <row r="732">
      <c r="B732" s="1282"/>
      <c r="C732" s="1282"/>
      <c r="D732" s="1282"/>
      <c r="E732" s="351"/>
      <c r="F732" s="1282"/>
      <c r="G732" s="1282"/>
      <c r="H732" s="1282"/>
      <c r="I732" s="1282"/>
      <c r="J732" s="1282" t="s">
        <v>903</v>
      </c>
      <c r="K732" s="1282"/>
      <c r="L732" s="1282"/>
      <c r="AC732" s="1342"/>
      <c r="AH732" s="274"/>
    </row>
    <row r="733">
      <c r="B733" s="1282"/>
      <c r="C733" s="1282"/>
      <c r="D733" s="1282"/>
      <c r="E733" s="351"/>
      <c r="F733" s="1282"/>
      <c r="G733" s="1282"/>
      <c r="H733" s="1282"/>
      <c r="I733" s="1282"/>
      <c r="J733" s="1282" t="s">
        <v>903</v>
      </c>
      <c r="K733" s="1282"/>
      <c r="L733" s="1282"/>
      <c r="AC733" s="1342"/>
      <c r="AH733" s="274"/>
    </row>
    <row r="734">
      <c r="B734" s="1282"/>
      <c r="C734" s="1282"/>
      <c r="D734" s="1282"/>
      <c r="E734" s="351"/>
      <c r="F734" s="1282"/>
      <c r="G734" s="1282"/>
      <c r="H734" s="1282"/>
      <c r="I734" s="1282"/>
      <c r="J734" s="1282" t="s">
        <v>903</v>
      </c>
      <c r="K734" s="1282"/>
      <c r="L734" s="1282"/>
      <c r="AC734" s="1342"/>
      <c r="AH734" s="274"/>
    </row>
    <row r="735">
      <c r="B735" s="1282"/>
      <c r="C735" s="1282"/>
      <c r="D735" s="1282"/>
      <c r="E735" s="351"/>
      <c r="F735" s="1282"/>
      <c r="G735" s="1282"/>
      <c r="H735" s="1282"/>
      <c r="I735" s="1282"/>
      <c r="J735" s="1282" t="s">
        <v>903</v>
      </c>
      <c r="K735" s="1282"/>
      <c r="L735" s="1282"/>
      <c r="AC735" s="1342"/>
      <c r="AH735" s="274"/>
    </row>
    <row r="736">
      <c r="B736" s="1282"/>
      <c r="C736" s="1282"/>
      <c r="D736" s="1282"/>
      <c r="E736" s="351"/>
      <c r="F736" s="1282"/>
      <c r="G736" s="1282"/>
      <c r="H736" s="1282"/>
      <c r="I736" s="1282"/>
      <c r="J736" s="1282" t="s">
        <v>903</v>
      </c>
      <c r="K736" s="1282"/>
      <c r="L736" s="1282"/>
      <c r="AC736" s="1342"/>
      <c r="AH736" s="274"/>
    </row>
    <row r="737">
      <c r="B737" s="1282"/>
      <c r="C737" s="1282"/>
      <c r="D737" s="1282"/>
      <c r="E737" s="351"/>
      <c r="F737" s="1282"/>
      <c r="G737" s="1282"/>
      <c r="H737" s="1282"/>
      <c r="I737" s="1282"/>
      <c r="J737" s="1282" t="s">
        <v>903</v>
      </c>
      <c r="K737" s="1282"/>
      <c r="L737" s="1282"/>
      <c r="AC737" s="1342"/>
      <c r="AH737" s="274"/>
    </row>
    <row r="738">
      <c r="B738" s="1282"/>
      <c r="C738" s="1282"/>
      <c r="D738" s="1282"/>
      <c r="E738" s="351"/>
      <c r="F738" s="1282"/>
      <c r="G738" s="1282"/>
      <c r="H738" s="1282"/>
      <c r="I738" s="1282"/>
      <c r="J738" s="1282" t="s">
        <v>903</v>
      </c>
      <c r="K738" s="1282"/>
      <c r="L738" s="1282"/>
      <c r="AC738" s="1342"/>
      <c r="AH738" s="274"/>
    </row>
    <row r="739">
      <c r="B739" s="1282"/>
      <c r="C739" s="1282"/>
      <c r="D739" s="1282"/>
      <c r="E739" s="351"/>
      <c r="F739" s="1282"/>
      <c r="G739" s="1282"/>
      <c r="H739" s="1282"/>
      <c r="I739" s="1282"/>
      <c r="J739" s="1282" t="s">
        <v>903</v>
      </c>
      <c r="K739" s="1282"/>
      <c r="L739" s="1282"/>
      <c r="AC739" s="1342"/>
      <c r="AH739" s="274"/>
    </row>
    <row r="740">
      <c r="B740" s="1282"/>
      <c r="C740" s="1282"/>
      <c r="D740" s="1282"/>
      <c r="E740" s="351"/>
      <c r="F740" s="1282"/>
      <c r="G740" s="1282"/>
      <c r="H740" s="1282"/>
      <c r="I740" s="1282"/>
      <c r="J740" s="1282" t="s">
        <v>903</v>
      </c>
      <c r="K740" s="1282"/>
      <c r="L740" s="1282"/>
      <c r="AC740" s="1342"/>
      <c r="AH740" s="274"/>
    </row>
    <row r="741">
      <c r="B741" s="1282"/>
      <c r="C741" s="1282"/>
      <c r="D741" s="1282"/>
      <c r="E741" s="351"/>
      <c r="F741" s="1282"/>
      <c r="G741" s="1282"/>
      <c r="H741" s="1282"/>
      <c r="I741" s="1282"/>
      <c r="J741" s="1282" t="s">
        <v>903</v>
      </c>
      <c r="K741" s="1282"/>
      <c r="L741" s="1282"/>
      <c r="AC741" s="1342"/>
      <c r="AH741" s="274"/>
    </row>
    <row r="742">
      <c r="B742" s="1282"/>
      <c r="C742" s="1282"/>
      <c r="D742" s="1282"/>
      <c r="E742" s="351"/>
      <c r="F742" s="1282"/>
      <c r="G742" s="1282"/>
      <c r="H742" s="1282"/>
      <c r="I742" s="1282"/>
      <c r="J742" s="1282" t="s">
        <v>903</v>
      </c>
      <c r="K742" s="1282"/>
      <c r="L742" s="1282"/>
      <c r="AC742" s="1342"/>
      <c r="AH742" s="274"/>
    </row>
    <row r="743">
      <c r="B743" s="1282"/>
      <c r="C743" s="1282"/>
      <c r="D743" s="1282"/>
      <c r="E743" s="351"/>
      <c r="F743" s="1282"/>
      <c r="G743" s="1282"/>
      <c r="H743" s="1282"/>
      <c r="I743" s="1282"/>
      <c r="J743" s="1282" t="s">
        <v>903</v>
      </c>
      <c r="K743" s="1282"/>
      <c r="L743" s="1282"/>
      <c r="AC743" s="1342"/>
      <c r="AH743" s="274"/>
    </row>
    <row r="744">
      <c r="B744" s="1282"/>
      <c r="C744" s="1282"/>
      <c r="D744" s="1282"/>
      <c r="E744" s="351"/>
      <c r="F744" s="1282"/>
      <c r="G744" s="1282"/>
      <c r="H744" s="1282"/>
      <c r="I744" s="1282"/>
      <c r="J744" s="1282" t="s">
        <v>903</v>
      </c>
      <c r="K744" s="1282"/>
      <c r="L744" s="1282"/>
      <c r="AC744" s="1342"/>
      <c r="AH744" s="274"/>
    </row>
    <row r="745">
      <c r="B745" s="1282"/>
      <c r="C745" s="1282"/>
      <c r="D745" s="1282"/>
      <c r="E745" s="351"/>
      <c r="F745" s="1282"/>
      <c r="G745" s="1282"/>
      <c r="H745" s="1282"/>
      <c r="I745" s="1282"/>
      <c r="J745" s="1282" t="s">
        <v>903</v>
      </c>
      <c r="K745" s="1282"/>
      <c r="L745" s="1282"/>
      <c r="AC745" s="1342"/>
      <c r="AH745" s="274"/>
    </row>
    <row r="746">
      <c r="B746" s="1282"/>
      <c r="C746" s="1282"/>
      <c r="D746" s="1282"/>
      <c r="E746" s="351"/>
      <c r="F746" s="1282"/>
      <c r="G746" s="1282"/>
      <c r="H746" s="1282"/>
      <c r="I746" s="1282"/>
      <c r="J746" s="1282" t="s">
        <v>903</v>
      </c>
      <c r="K746" s="1282"/>
      <c r="L746" s="1282"/>
      <c r="AC746" s="1342"/>
      <c r="AH746" s="274"/>
    </row>
    <row r="747">
      <c r="B747" s="1282"/>
      <c r="C747" s="1282"/>
      <c r="D747" s="1282"/>
      <c r="E747" s="351"/>
      <c r="F747" s="1282"/>
      <c r="G747" s="1282"/>
      <c r="H747" s="1282"/>
      <c r="I747" s="1282"/>
      <c r="J747" s="1282" t="s">
        <v>903</v>
      </c>
      <c r="K747" s="1282"/>
      <c r="L747" s="1282"/>
      <c r="AC747" s="1342"/>
      <c r="AH747" s="274"/>
    </row>
    <row r="748">
      <c r="B748" s="1282"/>
      <c r="C748" s="1282"/>
      <c r="D748" s="1282"/>
      <c r="E748" s="351"/>
      <c r="F748" s="1282"/>
      <c r="G748" s="1282"/>
      <c r="H748" s="1282"/>
      <c r="I748" s="1282"/>
      <c r="J748" s="1282" t="s">
        <v>903</v>
      </c>
      <c r="K748" s="1282"/>
      <c r="L748" s="1282"/>
      <c r="AC748" s="1342"/>
      <c r="AH748" s="274"/>
    </row>
    <row r="749">
      <c r="B749" s="1282"/>
      <c r="C749" s="1282"/>
      <c r="D749" s="1282"/>
      <c r="E749" s="351"/>
      <c r="F749" s="1282"/>
      <c r="G749" s="1282"/>
      <c r="H749" s="1282"/>
      <c r="I749" s="1282"/>
      <c r="J749" s="1282" t="s">
        <v>903</v>
      </c>
      <c r="K749" s="1282"/>
      <c r="L749" s="1282"/>
      <c r="AC749" s="1342"/>
      <c r="AH749" s="274"/>
    </row>
    <row r="750">
      <c r="B750" s="1282"/>
      <c r="C750" s="1282"/>
      <c r="D750" s="1282"/>
      <c r="E750" s="351"/>
      <c r="F750" s="1282"/>
      <c r="G750" s="1282"/>
      <c r="H750" s="1282"/>
      <c r="I750" s="1282"/>
      <c r="J750" s="1282" t="s">
        <v>903</v>
      </c>
      <c r="K750" s="1282"/>
      <c r="L750" s="1282"/>
      <c r="AC750" s="1342"/>
      <c r="AH750" s="274"/>
    </row>
    <row r="751">
      <c r="B751" s="1282"/>
      <c r="C751" s="1282"/>
      <c r="D751" s="1282"/>
      <c r="E751" s="351"/>
      <c r="F751" s="1282"/>
      <c r="G751" s="1282"/>
      <c r="H751" s="1282"/>
      <c r="I751" s="1282"/>
      <c r="J751" s="1282" t="s">
        <v>903</v>
      </c>
      <c r="K751" s="1282"/>
      <c r="L751" s="1282"/>
      <c r="AC751" s="1342"/>
      <c r="AH751" s="274"/>
    </row>
    <row r="752">
      <c r="B752" s="1282"/>
      <c r="C752" s="1282"/>
      <c r="D752" s="1282"/>
      <c r="E752" s="351"/>
      <c r="F752" s="1282"/>
      <c r="G752" s="1282"/>
      <c r="H752" s="1282"/>
      <c r="I752" s="1282"/>
      <c r="J752" s="1282" t="s">
        <v>903</v>
      </c>
      <c r="K752" s="1282"/>
      <c r="L752" s="1282"/>
      <c r="AC752" s="1342"/>
      <c r="AH752" s="274"/>
    </row>
    <row r="753">
      <c r="B753" s="1282"/>
      <c r="C753" s="1282"/>
      <c r="D753" s="1282"/>
      <c r="E753" s="351"/>
      <c r="F753" s="1282"/>
      <c r="G753" s="1282"/>
      <c r="H753" s="1282"/>
      <c r="I753" s="1282"/>
      <c r="J753" s="1282" t="s">
        <v>903</v>
      </c>
      <c r="K753" s="1282"/>
      <c r="L753" s="1282"/>
      <c r="AC753" s="1342"/>
      <c r="AH753" s="274"/>
    </row>
    <row r="754">
      <c r="B754" s="1282"/>
      <c r="C754" s="1282"/>
      <c r="D754" s="1282"/>
      <c r="E754" s="351"/>
      <c r="F754" s="1282"/>
      <c r="G754" s="1282"/>
      <c r="H754" s="1282"/>
      <c r="I754" s="1282"/>
      <c r="J754" s="1282" t="s">
        <v>903</v>
      </c>
      <c r="K754" s="1282"/>
      <c r="L754" s="1282"/>
      <c r="AC754" s="1342"/>
      <c r="AH754" s="274"/>
    </row>
    <row r="755">
      <c r="B755" s="1282"/>
      <c r="C755" s="1282"/>
      <c r="D755" s="1282"/>
      <c r="E755" s="351"/>
      <c r="F755" s="1282"/>
      <c r="G755" s="1282"/>
      <c r="H755" s="1282"/>
      <c r="I755" s="1282"/>
      <c r="J755" s="1282" t="s">
        <v>903</v>
      </c>
      <c r="K755" s="1282"/>
      <c r="L755" s="1282"/>
      <c r="AC755" s="1342"/>
      <c r="AH755" s="274"/>
    </row>
    <row r="756">
      <c r="B756" s="1282"/>
      <c r="C756" s="1282"/>
      <c r="D756" s="1282"/>
      <c r="E756" s="351"/>
      <c r="F756" s="1282"/>
      <c r="G756" s="1282"/>
      <c r="H756" s="1282"/>
      <c r="I756" s="1282"/>
      <c r="J756" s="1282" t="s">
        <v>903</v>
      </c>
      <c r="K756" s="1282"/>
      <c r="L756" s="1282"/>
      <c r="AC756" s="1342"/>
      <c r="AH756" s="274"/>
    </row>
    <row r="757">
      <c r="B757" s="1282"/>
      <c r="C757" s="1282"/>
      <c r="D757" s="1282"/>
      <c r="E757" s="351"/>
      <c r="F757" s="1282"/>
      <c r="G757" s="1282"/>
      <c r="H757" s="1282"/>
      <c r="I757" s="1282"/>
      <c r="J757" s="1282" t="s">
        <v>903</v>
      </c>
      <c r="K757" s="1282"/>
      <c r="L757" s="1282"/>
      <c r="AC757" s="1342"/>
      <c r="AH757" s="274"/>
    </row>
    <row r="758">
      <c r="B758" s="1282"/>
      <c r="C758" s="1282"/>
      <c r="D758" s="1282"/>
      <c r="E758" s="351"/>
      <c r="F758" s="1282"/>
      <c r="G758" s="1282"/>
      <c r="H758" s="1282"/>
      <c r="I758" s="1282"/>
      <c r="J758" s="1282" t="s">
        <v>903</v>
      </c>
      <c r="K758" s="1282"/>
      <c r="L758" s="1282"/>
      <c r="AC758" s="1342"/>
      <c r="AH758" s="274"/>
    </row>
    <row r="759">
      <c r="B759" s="1282"/>
      <c r="C759" s="1282"/>
      <c r="D759" s="1282"/>
      <c r="E759" s="351"/>
      <c r="F759" s="1282"/>
      <c r="G759" s="1282"/>
      <c r="H759" s="1282"/>
      <c r="I759" s="1282"/>
      <c r="J759" s="1282" t="s">
        <v>903</v>
      </c>
      <c r="K759" s="1282"/>
      <c r="L759" s="1282"/>
      <c r="AC759" s="1342"/>
      <c r="AH759" s="274"/>
    </row>
    <row r="760">
      <c r="B760" s="1282"/>
      <c r="C760" s="1282"/>
      <c r="D760" s="1282"/>
      <c r="E760" s="351"/>
      <c r="F760" s="1282"/>
      <c r="G760" s="1282"/>
      <c r="H760" s="1282"/>
      <c r="I760" s="1282"/>
      <c r="J760" s="1282" t="s">
        <v>903</v>
      </c>
      <c r="K760" s="1282"/>
      <c r="L760" s="1282"/>
      <c r="AC760" s="1342"/>
      <c r="AH760" s="274"/>
    </row>
    <row r="761">
      <c r="B761" s="1282"/>
      <c r="C761" s="1282"/>
      <c r="D761" s="1282"/>
      <c r="E761" s="351"/>
      <c r="F761" s="1282"/>
      <c r="G761" s="1282"/>
      <c r="H761" s="1282"/>
      <c r="I761" s="1282"/>
      <c r="J761" s="1282" t="s">
        <v>903</v>
      </c>
      <c r="K761" s="1282"/>
      <c r="L761" s="1282"/>
      <c r="AC761" s="1342"/>
      <c r="AH761" s="274"/>
    </row>
    <row r="762">
      <c r="B762" s="1282"/>
      <c r="C762" s="1282"/>
      <c r="D762" s="1282"/>
      <c r="E762" s="351"/>
      <c r="F762" s="1282"/>
      <c r="G762" s="1282"/>
      <c r="H762" s="1282"/>
      <c r="I762" s="1282"/>
      <c r="J762" s="1282" t="s">
        <v>903</v>
      </c>
      <c r="K762" s="1282"/>
      <c r="L762" s="1282"/>
      <c r="AC762" s="1342"/>
      <c r="AH762" s="274"/>
    </row>
    <row r="763">
      <c r="B763" s="1282"/>
      <c r="C763" s="1282"/>
      <c r="D763" s="1282"/>
      <c r="E763" s="351"/>
      <c r="F763" s="1282"/>
      <c r="G763" s="1282"/>
      <c r="H763" s="1282"/>
      <c r="I763" s="1282"/>
      <c r="J763" s="1282" t="s">
        <v>903</v>
      </c>
      <c r="K763" s="1282"/>
      <c r="L763" s="1282"/>
      <c r="AC763" s="1342"/>
      <c r="AH763" s="274"/>
    </row>
    <row r="764">
      <c r="B764" s="1282"/>
      <c r="C764" s="1282"/>
      <c r="D764" s="1282"/>
      <c r="E764" s="351"/>
      <c r="F764" s="1282"/>
      <c r="G764" s="1282"/>
      <c r="H764" s="1282"/>
      <c r="I764" s="1282"/>
      <c r="J764" s="1282" t="s">
        <v>903</v>
      </c>
      <c r="K764" s="1282"/>
      <c r="L764" s="1282"/>
      <c r="AC764" s="1342"/>
      <c r="AH764" s="274"/>
    </row>
    <row r="765">
      <c r="B765" s="1282"/>
      <c r="C765" s="1282"/>
      <c r="D765" s="1282"/>
      <c r="E765" s="351"/>
      <c r="F765" s="1282"/>
      <c r="G765" s="1282"/>
      <c r="H765" s="1282"/>
      <c r="I765" s="1282"/>
      <c r="J765" s="1282" t="s">
        <v>903</v>
      </c>
      <c r="K765" s="1282"/>
      <c r="L765" s="1282"/>
      <c r="AC765" s="1342"/>
      <c r="AH765" s="274"/>
    </row>
    <row r="766">
      <c r="B766" s="1282"/>
      <c r="C766" s="1282"/>
      <c r="D766" s="1282"/>
      <c r="E766" s="351"/>
      <c r="F766" s="1282"/>
      <c r="G766" s="1282"/>
      <c r="H766" s="1282"/>
      <c r="I766" s="1282"/>
      <c r="J766" s="1282" t="s">
        <v>903</v>
      </c>
      <c r="K766" s="1282"/>
      <c r="L766" s="1282"/>
      <c r="AC766" s="1342"/>
      <c r="AH766" s="274"/>
    </row>
    <row r="767">
      <c r="B767" s="1282"/>
      <c r="C767" s="1282"/>
      <c r="D767" s="1282"/>
      <c r="E767" s="351"/>
      <c r="F767" s="1282"/>
      <c r="G767" s="1282"/>
      <c r="H767" s="1282"/>
      <c r="I767" s="1282"/>
      <c r="J767" s="1282" t="s">
        <v>903</v>
      </c>
      <c r="K767" s="1282"/>
      <c r="L767" s="1282"/>
      <c r="AC767" s="1342"/>
      <c r="AH767" s="274"/>
    </row>
    <row r="768">
      <c r="B768" s="1282"/>
      <c r="C768" s="1282"/>
      <c r="D768" s="1282"/>
      <c r="E768" s="351"/>
      <c r="F768" s="1282"/>
      <c r="G768" s="1282"/>
      <c r="H768" s="1282"/>
      <c r="I768" s="1282"/>
      <c r="J768" s="1282" t="s">
        <v>903</v>
      </c>
      <c r="K768" s="1282"/>
      <c r="L768" s="1282"/>
      <c r="AC768" s="1342"/>
      <c r="AH768" s="274"/>
    </row>
    <row r="769">
      <c r="B769" s="1282"/>
      <c r="C769" s="1282"/>
      <c r="D769" s="1282"/>
      <c r="E769" s="351"/>
      <c r="F769" s="1282"/>
      <c r="G769" s="1282"/>
      <c r="H769" s="1282"/>
      <c r="I769" s="1282"/>
      <c r="J769" s="1282" t="s">
        <v>903</v>
      </c>
      <c r="K769" s="1282"/>
      <c r="L769" s="1282"/>
      <c r="AC769" s="1342"/>
      <c r="AH769" s="274"/>
    </row>
    <row r="770">
      <c r="B770" s="1282"/>
      <c r="C770" s="1282"/>
      <c r="D770" s="1282"/>
      <c r="E770" s="351"/>
      <c r="F770" s="1282"/>
      <c r="G770" s="1282"/>
      <c r="H770" s="1282"/>
      <c r="I770" s="1282"/>
      <c r="J770" s="1282" t="s">
        <v>903</v>
      </c>
      <c r="K770" s="1282"/>
      <c r="L770" s="1282"/>
      <c r="AC770" s="1342"/>
      <c r="AH770" s="274"/>
    </row>
    <row r="771">
      <c r="B771" s="1282"/>
      <c r="C771" s="1282"/>
      <c r="D771" s="1282"/>
      <c r="E771" s="351"/>
      <c r="F771" s="1282"/>
      <c r="G771" s="1282"/>
      <c r="H771" s="1282"/>
      <c r="I771" s="1282"/>
      <c r="J771" s="1282" t="s">
        <v>903</v>
      </c>
      <c r="K771" s="1282"/>
      <c r="L771" s="1282"/>
      <c r="AC771" s="1342"/>
      <c r="AH771" s="274"/>
    </row>
    <row r="772">
      <c r="B772" s="1282"/>
      <c r="C772" s="1282"/>
      <c r="D772" s="1282"/>
      <c r="E772" s="351"/>
      <c r="F772" s="1282"/>
      <c r="G772" s="1282"/>
      <c r="H772" s="1282"/>
      <c r="I772" s="1282"/>
      <c r="J772" s="1282" t="s">
        <v>903</v>
      </c>
      <c r="K772" s="1282"/>
      <c r="L772" s="1282"/>
      <c r="AC772" s="1342"/>
      <c r="AH772" s="274"/>
    </row>
    <row r="773">
      <c r="B773" s="1282"/>
      <c r="C773" s="1282"/>
      <c r="D773" s="1282"/>
      <c r="E773" s="351"/>
      <c r="F773" s="1282"/>
      <c r="G773" s="1282"/>
      <c r="H773" s="1282"/>
      <c r="I773" s="1282"/>
      <c r="J773" s="1282" t="s">
        <v>903</v>
      </c>
      <c r="K773" s="1282"/>
      <c r="L773" s="1282"/>
      <c r="AC773" s="1342"/>
      <c r="AH773" s="274"/>
    </row>
    <row r="774">
      <c r="B774" s="1282"/>
      <c r="C774" s="1282"/>
      <c r="D774" s="1282"/>
      <c r="E774" s="351"/>
      <c r="F774" s="1282"/>
      <c r="G774" s="1282"/>
      <c r="H774" s="1282"/>
      <c r="I774" s="1282"/>
      <c r="J774" s="1282" t="s">
        <v>903</v>
      </c>
      <c r="K774" s="1282"/>
      <c r="L774" s="1282"/>
      <c r="AC774" s="1342"/>
      <c r="AH774" s="274"/>
    </row>
    <row r="775">
      <c r="B775" s="1282"/>
      <c r="C775" s="1282"/>
      <c r="D775" s="1282"/>
      <c r="E775" s="351"/>
      <c r="F775" s="1282"/>
      <c r="G775" s="1282"/>
      <c r="H775" s="1282"/>
      <c r="I775" s="1282"/>
      <c r="J775" s="1282" t="s">
        <v>903</v>
      </c>
      <c r="K775" s="1282"/>
      <c r="L775" s="1282"/>
      <c r="AC775" s="1342"/>
      <c r="AH775" s="274"/>
    </row>
    <row r="776">
      <c r="B776" s="1282"/>
      <c r="C776" s="1282"/>
      <c r="D776" s="1282"/>
      <c r="E776" s="351"/>
      <c r="F776" s="1282"/>
      <c r="G776" s="1282"/>
      <c r="H776" s="1282"/>
      <c r="I776" s="1282"/>
      <c r="J776" s="1282" t="s">
        <v>903</v>
      </c>
      <c r="K776" s="1282"/>
      <c r="L776" s="1282"/>
      <c r="AC776" s="1342"/>
      <c r="AH776" s="274"/>
    </row>
    <row r="777">
      <c r="B777" s="1282"/>
      <c r="C777" s="1282"/>
      <c r="D777" s="1282"/>
      <c r="E777" s="351"/>
      <c r="F777" s="1282"/>
      <c r="G777" s="1282"/>
      <c r="H777" s="1282"/>
      <c r="I777" s="1282"/>
      <c r="J777" s="1282" t="s">
        <v>903</v>
      </c>
      <c r="K777" s="1282"/>
      <c r="L777" s="1282"/>
      <c r="AC777" s="1342"/>
      <c r="AH777" s="274"/>
    </row>
    <row r="778">
      <c r="B778" s="1282"/>
      <c r="C778" s="1282"/>
      <c r="D778" s="1282"/>
      <c r="E778" s="351"/>
      <c r="F778" s="1282"/>
      <c r="G778" s="1282"/>
      <c r="H778" s="1282"/>
      <c r="I778" s="1282"/>
      <c r="J778" s="1282" t="s">
        <v>903</v>
      </c>
      <c r="K778" s="1282"/>
      <c r="L778" s="1282"/>
      <c r="AC778" s="1342"/>
      <c r="AH778" s="274"/>
    </row>
    <row r="779">
      <c r="B779" s="1282"/>
      <c r="C779" s="1282"/>
      <c r="D779" s="1282"/>
      <c r="E779" s="351"/>
      <c r="F779" s="1282"/>
      <c r="G779" s="1282"/>
      <c r="H779" s="1282"/>
      <c r="I779" s="1282"/>
      <c r="J779" s="1282" t="s">
        <v>903</v>
      </c>
      <c r="K779" s="1282"/>
      <c r="L779" s="1282"/>
      <c r="AC779" s="1342"/>
      <c r="AH779" s="274"/>
    </row>
    <row r="780">
      <c r="B780" s="1282"/>
      <c r="C780" s="1282"/>
      <c r="D780" s="1282"/>
      <c r="E780" s="351"/>
      <c r="F780" s="1282"/>
      <c r="G780" s="1282"/>
      <c r="H780" s="1282"/>
      <c r="I780" s="1282"/>
      <c r="J780" s="1282" t="s">
        <v>903</v>
      </c>
      <c r="K780" s="1282"/>
      <c r="L780" s="1282"/>
      <c r="AC780" s="1342"/>
      <c r="AH780" s="274"/>
    </row>
    <row r="781">
      <c r="B781" s="1282"/>
      <c r="C781" s="1282"/>
      <c r="D781" s="1282"/>
      <c r="E781" s="351"/>
      <c r="F781" s="1282"/>
      <c r="G781" s="1282"/>
      <c r="H781" s="1282"/>
      <c r="I781" s="1282"/>
      <c r="J781" s="1282" t="s">
        <v>903</v>
      </c>
      <c r="K781" s="1282"/>
      <c r="L781" s="1282"/>
      <c r="AC781" s="1342"/>
      <c r="AH781" s="274"/>
    </row>
    <row r="782">
      <c r="B782" s="1282"/>
      <c r="C782" s="1282"/>
      <c r="D782" s="1282"/>
      <c r="E782" s="351"/>
      <c r="F782" s="1282"/>
      <c r="G782" s="1282"/>
      <c r="H782" s="1282"/>
      <c r="I782" s="1282"/>
      <c r="J782" s="1282" t="s">
        <v>903</v>
      </c>
      <c r="K782" s="1282"/>
      <c r="L782" s="1282"/>
      <c r="AC782" s="1342"/>
      <c r="AH782" s="274"/>
    </row>
    <row r="783">
      <c r="B783" s="1282"/>
      <c r="C783" s="1282"/>
      <c r="D783" s="1282"/>
      <c r="E783" s="351"/>
      <c r="F783" s="1282"/>
      <c r="G783" s="1282"/>
      <c r="H783" s="1282"/>
      <c r="I783" s="1282"/>
      <c r="J783" s="1282" t="s">
        <v>903</v>
      </c>
      <c r="K783" s="1282"/>
      <c r="L783" s="1282"/>
      <c r="AC783" s="1342"/>
      <c r="AH783" s="274"/>
    </row>
    <row r="784">
      <c r="B784" s="1282"/>
      <c r="C784" s="1282"/>
      <c r="D784" s="1282"/>
      <c r="E784" s="351"/>
      <c r="F784" s="1282"/>
      <c r="G784" s="1282"/>
      <c r="H784" s="1282"/>
      <c r="I784" s="1282"/>
      <c r="J784" s="1282" t="s">
        <v>903</v>
      </c>
      <c r="K784" s="1282"/>
      <c r="L784" s="1282"/>
      <c r="AC784" s="1342"/>
      <c r="AH784" s="274"/>
    </row>
    <row r="785">
      <c r="B785" s="1282"/>
      <c r="C785" s="1282"/>
      <c r="D785" s="1282"/>
      <c r="E785" s="351"/>
      <c r="F785" s="1282"/>
      <c r="G785" s="1282"/>
      <c r="H785" s="1282"/>
      <c r="I785" s="1282"/>
      <c r="J785" s="1282" t="s">
        <v>903</v>
      </c>
      <c r="K785" s="1282"/>
      <c r="L785" s="1282"/>
      <c r="AC785" s="1342"/>
      <c r="AH785" s="274"/>
    </row>
    <row r="786">
      <c r="B786" s="1282"/>
      <c r="C786" s="1282"/>
      <c r="D786" s="1282"/>
      <c r="E786" s="351"/>
      <c r="F786" s="1282"/>
      <c r="G786" s="1282"/>
      <c r="H786" s="1282"/>
      <c r="I786" s="1282"/>
      <c r="J786" s="1282" t="s">
        <v>903</v>
      </c>
      <c r="K786" s="1282"/>
      <c r="L786" s="1282"/>
      <c r="AC786" s="1342"/>
      <c r="AH786" s="274"/>
    </row>
    <row r="787">
      <c r="B787" s="1282"/>
      <c r="C787" s="1282"/>
      <c r="D787" s="1282"/>
      <c r="E787" s="351"/>
      <c r="F787" s="1282"/>
      <c r="G787" s="1282"/>
      <c r="H787" s="1282"/>
      <c r="I787" s="1282"/>
      <c r="J787" s="1282" t="s">
        <v>903</v>
      </c>
      <c r="K787" s="1282"/>
      <c r="L787" s="1282"/>
      <c r="AC787" s="1342"/>
      <c r="AH787" s="274"/>
    </row>
    <row r="788">
      <c r="B788" s="1282"/>
      <c r="C788" s="1282"/>
      <c r="D788" s="1282"/>
      <c r="E788" s="351"/>
      <c r="F788" s="1282"/>
      <c r="G788" s="1282"/>
      <c r="H788" s="1282"/>
      <c r="I788" s="1282"/>
      <c r="J788" s="1282" t="s">
        <v>903</v>
      </c>
      <c r="K788" s="1282"/>
      <c r="L788" s="1282"/>
      <c r="AC788" s="1342"/>
      <c r="AH788" s="274"/>
    </row>
    <row r="789">
      <c r="B789" s="1282"/>
      <c r="C789" s="1282"/>
      <c r="D789" s="1282"/>
      <c r="E789" s="351"/>
      <c r="F789" s="1282"/>
      <c r="G789" s="1282"/>
      <c r="H789" s="1282"/>
      <c r="I789" s="1282"/>
      <c r="J789" s="1282" t="s">
        <v>903</v>
      </c>
      <c r="K789" s="1282"/>
      <c r="L789" s="1282"/>
      <c r="AC789" s="1342"/>
      <c r="AH789" s="274"/>
    </row>
    <row r="790">
      <c r="B790" s="1282"/>
      <c r="C790" s="1282"/>
      <c r="D790" s="1282"/>
      <c r="E790" s="351"/>
      <c r="F790" s="1282"/>
      <c r="G790" s="1282"/>
      <c r="H790" s="1282"/>
      <c r="I790" s="1282"/>
      <c r="J790" s="1282" t="s">
        <v>903</v>
      </c>
      <c r="K790" s="1282"/>
      <c r="L790" s="1282"/>
      <c r="AC790" s="1342"/>
      <c r="AH790" s="274"/>
    </row>
    <row r="791">
      <c r="B791" s="1282"/>
      <c r="C791" s="1282"/>
      <c r="D791" s="1282"/>
      <c r="E791" s="351"/>
      <c r="F791" s="1282"/>
      <c r="G791" s="1282"/>
      <c r="H791" s="1282"/>
      <c r="I791" s="1282"/>
      <c r="J791" s="1282" t="s">
        <v>903</v>
      </c>
      <c r="K791" s="1282"/>
      <c r="L791" s="1282"/>
      <c r="AC791" s="1342"/>
      <c r="AH791" s="274"/>
    </row>
    <row r="792">
      <c r="B792" s="1282"/>
      <c r="C792" s="1282"/>
      <c r="D792" s="1282"/>
      <c r="E792" s="351"/>
      <c r="F792" s="1282"/>
      <c r="G792" s="1282"/>
      <c r="H792" s="1282"/>
      <c r="I792" s="1282"/>
      <c r="J792" s="1282" t="s">
        <v>903</v>
      </c>
      <c r="K792" s="1282"/>
      <c r="L792" s="1282"/>
      <c r="AC792" s="1342"/>
      <c r="AH792" s="274"/>
    </row>
    <row r="793">
      <c r="B793" s="1282"/>
      <c r="C793" s="1282"/>
      <c r="D793" s="1282"/>
      <c r="E793" s="351"/>
      <c r="F793" s="1282"/>
      <c r="G793" s="1282"/>
      <c r="H793" s="1282"/>
      <c r="I793" s="1282"/>
      <c r="J793" s="1282" t="s">
        <v>903</v>
      </c>
      <c r="K793" s="1282"/>
      <c r="L793" s="1282"/>
      <c r="AC793" s="1342"/>
      <c r="AH793" s="274"/>
    </row>
    <row r="794">
      <c r="B794" s="1282"/>
      <c r="C794" s="1282"/>
      <c r="D794" s="1282"/>
      <c r="E794" s="351"/>
      <c r="F794" s="1282"/>
      <c r="G794" s="1282"/>
      <c r="H794" s="1282"/>
      <c r="I794" s="1282"/>
      <c r="J794" s="1282" t="s">
        <v>903</v>
      </c>
      <c r="K794" s="1282"/>
      <c r="L794" s="1282"/>
      <c r="AC794" s="1342"/>
      <c r="AH794" s="274"/>
    </row>
    <row r="795">
      <c r="B795" s="1282"/>
      <c r="C795" s="1282"/>
      <c r="D795" s="1282"/>
      <c r="E795" s="351"/>
      <c r="F795" s="1282"/>
      <c r="G795" s="1282"/>
      <c r="H795" s="1282"/>
      <c r="I795" s="1282"/>
      <c r="J795" s="1282" t="s">
        <v>903</v>
      </c>
      <c r="K795" s="1282"/>
      <c r="L795" s="1282"/>
      <c r="AC795" s="1342"/>
      <c r="AH795" s="274"/>
    </row>
    <row r="796">
      <c r="B796" s="1282"/>
      <c r="C796" s="1282"/>
      <c r="D796" s="1282"/>
      <c r="E796" s="351"/>
      <c r="F796" s="1282"/>
      <c r="G796" s="1282"/>
      <c r="H796" s="1282"/>
      <c r="I796" s="1282"/>
      <c r="J796" s="1282" t="s">
        <v>903</v>
      </c>
      <c r="K796" s="1282"/>
      <c r="L796" s="1282"/>
      <c r="AC796" s="1342"/>
      <c r="AH796" s="274"/>
    </row>
    <row r="797">
      <c r="B797" s="1282"/>
      <c r="C797" s="1282"/>
      <c r="D797" s="1282"/>
      <c r="E797" s="351"/>
      <c r="F797" s="1282"/>
      <c r="G797" s="1282"/>
      <c r="H797" s="1282"/>
      <c r="I797" s="1282"/>
      <c r="J797" s="1282" t="s">
        <v>903</v>
      </c>
      <c r="K797" s="1282"/>
      <c r="L797" s="1282"/>
      <c r="AC797" s="1342"/>
      <c r="AH797" s="274"/>
    </row>
    <row r="798">
      <c r="B798" s="1282"/>
      <c r="C798" s="1282"/>
      <c r="D798" s="1282"/>
      <c r="E798" s="351"/>
      <c r="F798" s="1282"/>
      <c r="G798" s="1282"/>
      <c r="H798" s="1282"/>
      <c r="I798" s="1282"/>
      <c r="J798" s="1282" t="s">
        <v>903</v>
      </c>
      <c r="K798" s="1282"/>
      <c r="L798" s="1282"/>
      <c r="AC798" s="1342"/>
      <c r="AH798" s="274"/>
    </row>
    <row r="799">
      <c r="B799" s="1282"/>
      <c r="C799" s="1282"/>
      <c r="D799" s="1282"/>
      <c r="E799" s="351"/>
      <c r="F799" s="1282"/>
      <c r="G799" s="1282"/>
      <c r="H799" s="1282"/>
      <c r="I799" s="1282"/>
      <c r="J799" s="1282" t="s">
        <v>903</v>
      </c>
      <c r="K799" s="1282"/>
      <c r="L799" s="1282"/>
      <c r="AC799" s="1342"/>
      <c r="AH799" s="274"/>
    </row>
    <row r="800">
      <c r="B800" s="1282"/>
      <c r="C800" s="1282"/>
      <c r="D800" s="1282"/>
      <c r="E800" s="351"/>
      <c r="F800" s="1282"/>
      <c r="G800" s="1282"/>
      <c r="H800" s="1282"/>
      <c r="I800" s="1282"/>
      <c r="J800" s="1282" t="s">
        <v>903</v>
      </c>
      <c r="K800" s="1282"/>
      <c r="L800" s="1282"/>
      <c r="AC800" s="1342"/>
      <c r="AH800" s="274"/>
    </row>
    <row r="801">
      <c r="B801" s="1282"/>
      <c r="C801" s="1282"/>
      <c r="D801" s="1282"/>
      <c r="E801" s="351"/>
      <c r="F801" s="1282"/>
      <c r="G801" s="1282"/>
      <c r="H801" s="1282"/>
      <c r="I801" s="1282"/>
      <c r="J801" s="1282" t="s">
        <v>903</v>
      </c>
      <c r="K801" s="1282"/>
      <c r="L801" s="1282"/>
      <c r="AC801" s="1342"/>
      <c r="AH801" s="274"/>
    </row>
    <row r="802">
      <c r="B802" s="1282"/>
      <c r="C802" s="1282"/>
      <c r="D802" s="1282"/>
      <c r="E802" s="351"/>
      <c r="F802" s="1282"/>
      <c r="G802" s="1282"/>
      <c r="H802" s="1282"/>
      <c r="I802" s="1282"/>
      <c r="J802" s="1282" t="s">
        <v>903</v>
      </c>
      <c r="K802" s="1282"/>
      <c r="L802" s="1282"/>
      <c r="AC802" s="1342"/>
      <c r="AH802" s="274"/>
    </row>
    <row r="803">
      <c r="B803" s="1282"/>
      <c r="C803" s="1282"/>
      <c r="D803" s="1282"/>
      <c r="E803" s="351"/>
      <c r="F803" s="1282"/>
      <c r="G803" s="1282"/>
      <c r="H803" s="1282"/>
      <c r="I803" s="1282"/>
      <c r="J803" s="1282" t="s">
        <v>903</v>
      </c>
      <c r="K803" s="1282"/>
      <c r="L803" s="1282"/>
      <c r="AC803" s="1342"/>
      <c r="AH803" s="274"/>
    </row>
    <row r="804">
      <c r="B804" s="1282"/>
      <c r="C804" s="1282"/>
      <c r="D804" s="1282"/>
      <c r="E804" s="351"/>
      <c r="F804" s="1282"/>
      <c r="G804" s="1282"/>
      <c r="H804" s="1282"/>
      <c r="I804" s="1282"/>
      <c r="J804" s="1282" t="s">
        <v>903</v>
      </c>
      <c r="K804" s="1282"/>
      <c r="L804" s="1282"/>
      <c r="AC804" s="1342"/>
      <c r="AH804" s="274"/>
    </row>
    <row r="805">
      <c r="B805" s="1282"/>
      <c r="C805" s="1282"/>
      <c r="D805" s="1282"/>
      <c r="E805" s="351"/>
      <c r="F805" s="1282"/>
      <c r="G805" s="1282"/>
      <c r="H805" s="1282"/>
      <c r="I805" s="1282"/>
      <c r="J805" s="1282" t="s">
        <v>903</v>
      </c>
      <c r="K805" s="1282"/>
      <c r="L805" s="1282"/>
      <c r="AC805" s="1342"/>
      <c r="AH805" s="274"/>
    </row>
    <row r="806">
      <c r="B806" s="1282"/>
      <c r="C806" s="1282"/>
      <c r="D806" s="1282"/>
      <c r="E806" s="351"/>
      <c r="F806" s="1282"/>
      <c r="G806" s="1282"/>
      <c r="H806" s="1282"/>
      <c r="I806" s="1282"/>
      <c r="J806" s="1282" t="s">
        <v>903</v>
      </c>
      <c r="K806" s="1282"/>
      <c r="L806" s="1282"/>
      <c r="AC806" s="1342"/>
      <c r="AH806" s="274"/>
    </row>
    <row r="807">
      <c r="B807" s="1282"/>
      <c r="C807" s="1282"/>
      <c r="D807" s="1282"/>
      <c r="E807" s="351"/>
      <c r="F807" s="1282"/>
      <c r="G807" s="1282"/>
      <c r="H807" s="1282"/>
      <c r="I807" s="1282"/>
      <c r="J807" s="1282" t="s">
        <v>903</v>
      </c>
      <c r="K807" s="1282"/>
      <c r="L807" s="1282"/>
      <c r="AC807" s="1342"/>
      <c r="AH807" s="274"/>
    </row>
    <row r="808">
      <c r="B808" s="1282"/>
      <c r="C808" s="1282"/>
      <c r="D808" s="1282"/>
      <c r="E808" s="351"/>
      <c r="F808" s="1282"/>
      <c r="G808" s="1282"/>
      <c r="H808" s="1282"/>
      <c r="I808" s="1282"/>
      <c r="J808" s="1282" t="s">
        <v>903</v>
      </c>
      <c r="K808" s="1282"/>
      <c r="L808" s="1282"/>
      <c r="AC808" s="1342"/>
      <c r="AH808" s="274"/>
    </row>
    <row r="809">
      <c r="B809" s="1282"/>
      <c r="C809" s="1282"/>
      <c r="D809" s="1282"/>
      <c r="E809" s="351"/>
      <c r="F809" s="1282"/>
      <c r="G809" s="1282"/>
      <c r="H809" s="1282"/>
      <c r="I809" s="1282"/>
      <c r="J809" s="1282" t="s">
        <v>903</v>
      </c>
      <c r="K809" s="1282"/>
      <c r="L809" s="1282"/>
      <c r="AC809" s="1342"/>
      <c r="AH809" s="274"/>
    </row>
    <row r="810">
      <c r="B810" s="1282"/>
      <c r="C810" s="1282"/>
      <c r="D810" s="1282"/>
      <c r="E810" s="351"/>
      <c r="F810" s="1282"/>
      <c r="G810" s="1282"/>
      <c r="H810" s="1282"/>
      <c r="I810" s="1282"/>
      <c r="J810" s="1282" t="s">
        <v>903</v>
      </c>
      <c r="K810" s="1282"/>
      <c r="L810" s="1282"/>
      <c r="AC810" s="1342"/>
      <c r="AH810" s="274"/>
    </row>
    <row r="811">
      <c r="B811" s="1282"/>
      <c r="C811" s="1282"/>
      <c r="D811" s="1282"/>
      <c r="E811" s="351"/>
      <c r="F811" s="1282"/>
      <c r="G811" s="1282"/>
      <c r="H811" s="1282"/>
      <c r="I811" s="1282"/>
      <c r="J811" s="1282" t="s">
        <v>903</v>
      </c>
      <c r="K811" s="1282"/>
      <c r="L811" s="1282"/>
      <c r="AC811" s="1342"/>
      <c r="AH811" s="274"/>
    </row>
    <row r="812">
      <c r="B812" s="1282"/>
      <c r="C812" s="1282"/>
      <c r="D812" s="1282"/>
      <c r="E812" s="351"/>
      <c r="F812" s="1282"/>
      <c r="G812" s="1282"/>
      <c r="H812" s="1282"/>
      <c r="I812" s="1282"/>
      <c r="J812" s="1282" t="s">
        <v>903</v>
      </c>
      <c r="K812" s="1282"/>
      <c r="L812" s="1282"/>
      <c r="AC812" s="1342"/>
      <c r="AH812" s="274"/>
    </row>
    <row r="813">
      <c r="B813" s="1282"/>
      <c r="C813" s="1282"/>
      <c r="D813" s="1282"/>
      <c r="E813" s="351"/>
      <c r="F813" s="1282"/>
      <c r="G813" s="1282"/>
      <c r="H813" s="1282"/>
      <c r="I813" s="1282"/>
      <c r="J813" s="1282" t="s">
        <v>903</v>
      </c>
      <c r="K813" s="1282"/>
      <c r="L813" s="1282"/>
      <c r="AC813" s="1342"/>
      <c r="AH813" s="274"/>
    </row>
    <row r="814">
      <c r="B814" s="1282"/>
      <c r="C814" s="1282"/>
      <c r="D814" s="1282"/>
      <c r="E814" s="351"/>
      <c r="F814" s="1282"/>
      <c r="G814" s="1282"/>
      <c r="H814" s="1282"/>
      <c r="I814" s="1282"/>
      <c r="J814" s="1282" t="s">
        <v>903</v>
      </c>
      <c r="K814" s="1282"/>
      <c r="L814" s="1282"/>
      <c r="AC814" s="1342"/>
      <c r="AH814" s="274"/>
    </row>
    <row r="815">
      <c r="B815" s="1282"/>
      <c r="C815" s="1282"/>
      <c r="D815" s="1282"/>
      <c r="E815" s="351"/>
      <c r="F815" s="1282"/>
      <c r="G815" s="1282"/>
      <c r="H815" s="1282"/>
      <c r="I815" s="1282"/>
      <c r="J815" s="1282" t="s">
        <v>903</v>
      </c>
      <c r="K815" s="1282"/>
      <c r="L815" s="1282"/>
      <c r="AC815" s="1342"/>
      <c r="AH815" s="274"/>
    </row>
    <row r="816">
      <c r="B816" s="1282"/>
      <c r="C816" s="1282"/>
      <c r="D816" s="1282"/>
      <c r="E816" s="351"/>
      <c r="F816" s="1282"/>
      <c r="G816" s="1282"/>
      <c r="H816" s="1282"/>
      <c r="I816" s="1282"/>
      <c r="J816" s="1282" t="s">
        <v>903</v>
      </c>
      <c r="K816" s="1282"/>
      <c r="L816" s="1282"/>
      <c r="AC816" s="1342"/>
      <c r="AH816" s="274"/>
    </row>
    <row r="817">
      <c r="B817" s="1282"/>
      <c r="C817" s="1282"/>
      <c r="D817" s="1282"/>
      <c r="E817" s="351"/>
      <c r="F817" s="1282"/>
      <c r="G817" s="1282"/>
      <c r="H817" s="1282"/>
      <c r="I817" s="1282"/>
      <c r="J817" s="1282" t="s">
        <v>903</v>
      </c>
      <c r="K817" s="1282"/>
      <c r="L817" s="1282"/>
      <c r="AC817" s="1342"/>
      <c r="AH817" s="274"/>
    </row>
    <row r="818">
      <c r="B818" s="1282"/>
      <c r="C818" s="1282"/>
      <c r="D818" s="1282"/>
      <c r="E818" s="351"/>
      <c r="F818" s="1282"/>
      <c r="G818" s="1282"/>
      <c r="H818" s="1282"/>
      <c r="I818" s="1282"/>
      <c r="J818" s="1282" t="s">
        <v>903</v>
      </c>
      <c r="K818" s="1282"/>
      <c r="L818" s="1282"/>
      <c r="AC818" s="1342"/>
      <c r="AH818" s="274"/>
    </row>
    <row r="819">
      <c r="B819" s="1282"/>
      <c r="C819" s="1282"/>
      <c r="D819" s="1282"/>
      <c r="E819" s="351"/>
      <c r="F819" s="1282"/>
      <c r="G819" s="1282"/>
      <c r="H819" s="1282"/>
      <c r="I819" s="1282"/>
      <c r="J819" s="1282" t="s">
        <v>903</v>
      </c>
      <c r="K819" s="1282"/>
      <c r="L819" s="1282"/>
      <c r="AC819" s="1342"/>
      <c r="AH819" s="274"/>
    </row>
    <row r="820">
      <c r="B820" s="1282"/>
      <c r="C820" s="1282"/>
      <c r="D820" s="1282"/>
      <c r="E820" s="351"/>
      <c r="F820" s="1282"/>
      <c r="G820" s="1282"/>
      <c r="H820" s="1282"/>
      <c r="I820" s="1282"/>
      <c r="J820" s="1282" t="s">
        <v>903</v>
      </c>
      <c r="K820" s="1282"/>
      <c r="L820" s="1282"/>
      <c r="AC820" s="1342"/>
      <c r="AH820" s="274"/>
    </row>
    <row r="821">
      <c r="B821" s="1282"/>
      <c r="C821" s="1282"/>
      <c r="D821" s="1282"/>
      <c r="E821" s="351"/>
      <c r="F821" s="1282"/>
      <c r="G821" s="1282"/>
      <c r="H821" s="1282"/>
      <c r="I821" s="1282"/>
      <c r="J821" s="1282" t="s">
        <v>903</v>
      </c>
      <c r="K821" s="1282"/>
      <c r="L821" s="1282"/>
      <c r="AC821" s="1342"/>
      <c r="AH821" s="274"/>
    </row>
    <row r="822">
      <c r="B822" s="1282"/>
      <c r="C822" s="1282"/>
      <c r="D822" s="1282"/>
      <c r="E822" s="351"/>
      <c r="F822" s="1282"/>
      <c r="G822" s="1282"/>
      <c r="H822" s="1282"/>
      <c r="I822" s="1282"/>
      <c r="J822" s="1282" t="s">
        <v>903</v>
      </c>
      <c r="K822" s="1282"/>
      <c r="L822" s="1282"/>
      <c r="AC822" s="1342"/>
      <c r="AH822" s="274"/>
    </row>
    <row r="823">
      <c r="B823" s="1282"/>
      <c r="C823" s="1282"/>
      <c r="D823" s="1282"/>
      <c r="E823" s="351"/>
      <c r="F823" s="1282"/>
      <c r="G823" s="1282"/>
      <c r="H823" s="1282"/>
      <c r="I823" s="1282"/>
      <c r="J823" s="1282" t="s">
        <v>903</v>
      </c>
      <c r="K823" s="1282"/>
      <c r="L823" s="1282"/>
      <c r="AC823" s="1342"/>
      <c r="AH823" s="274"/>
    </row>
    <row r="824">
      <c r="B824" s="1282"/>
      <c r="C824" s="1282"/>
      <c r="D824" s="1282"/>
      <c r="E824" s="351"/>
      <c r="F824" s="1282"/>
      <c r="G824" s="1282"/>
      <c r="H824" s="1282"/>
      <c r="I824" s="1282"/>
      <c r="J824" s="1282" t="s">
        <v>903</v>
      </c>
      <c r="K824" s="1282"/>
      <c r="L824" s="1282"/>
      <c r="AC824" s="1342"/>
      <c r="AH824" s="274"/>
    </row>
    <row r="825">
      <c r="B825" s="1282"/>
      <c r="C825" s="1282"/>
      <c r="D825" s="1282"/>
      <c r="E825" s="351"/>
      <c r="F825" s="1282"/>
      <c r="G825" s="1282"/>
      <c r="H825" s="1282"/>
      <c r="I825" s="1282"/>
      <c r="J825" s="1282" t="s">
        <v>903</v>
      </c>
      <c r="K825" s="1282"/>
      <c r="L825" s="1282"/>
      <c r="AC825" s="1342"/>
      <c r="AH825" s="274"/>
    </row>
    <row r="826">
      <c r="B826" s="1282"/>
      <c r="C826" s="1282"/>
      <c r="D826" s="1282"/>
      <c r="E826" s="351"/>
      <c r="F826" s="1282"/>
      <c r="G826" s="1282"/>
      <c r="H826" s="1282"/>
      <c r="I826" s="1282"/>
      <c r="J826" s="1282" t="s">
        <v>903</v>
      </c>
      <c r="K826" s="1282"/>
      <c r="L826" s="1282"/>
      <c r="AC826" s="1342"/>
      <c r="AH826" s="274"/>
    </row>
    <row r="827">
      <c r="B827" s="1282"/>
      <c r="C827" s="1282"/>
      <c r="D827" s="1282"/>
      <c r="E827" s="351"/>
      <c r="F827" s="1282"/>
      <c r="G827" s="1282"/>
      <c r="H827" s="1282"/>
      <c r="I827" s="1282"/>
      <c r="J827" s="1282" t="s">
        <v>903</v>
      </c>
      <c r="K827" s="1282"/>
      <c r="L827" s="1282"/>
      <c r="AC827" s="1342"/>
      <c r="AH827" s="274"/>
    </row>
    <row r="828">
      <c r="B828" s="1282"/>
      <c r="C828" s="1282"/>
      <c r="D828" s="1282"/>
      <c r="E828" s="351"/>
      <c r="F828" s="1282"/>
      <c r="G828" s="1282"/>
      <c r="H828" s="1282"/>
      <c r="I828" s="1282"/>
      <c r="J828" s="1282" t="s">
        <v>903</v>
      </c>
      <c r="K828" s="1282"/>
      <c r="L828" s="1282"/>
      <c r="AC828" s="1342"/>
      <c r="AH828" s="274"/>
    </row>
    <row r="829">
      <c r="B829" s="1282"/>
      <c r="C829" s="1282"/>
      <c r="D829" s="1282"/>
      <c r="E829" s="351"/>
      <c r="F829" s="1282"/>
      <c r="G829" s="1282"/>
      <c r="H829" s="1282"/>
      <c r="I829" s="1282"/>
      <c r="J829" s="1282" t="s">
        <v>903</v>
      </c>
      <c r="K829" s="1282"/>
      <c r="L829" s="1282"/>
      <c r="AC829" s="1342"/>
      <c r="AH829" s="274"/>
    </row>
    <row r="830">
      <c r="B830" s="1282"/>
      <c r="C830" s="1282"/>
      <c r="D830" s="1282"/>
      <c r="E830" s="351"/>
      <c r="F830" s="1282"/>
      <c r="G830" s="1282"/>
      <c r="H830" s="1282"/>
      <c r="I830" s="1282"/>
      <c r="J830" s="1282" t="s">
        <v>903</v>
      </c>
      <c r="K830" s="1282"/>
      <c r="L830" s="1282"/>
      <c r="AC830" s="1342"/>
      <c r="AH830" s="274"/>
    </row>
    <row r="831">
      <c r="B831" s="1282"/>
      <c r="C831" s="1282"/>
      <c r="D831" s="1282"/>
      <c r="E831" s="351"/>
      <c r="F831" s="1282"/>
      <c r="G831" s="1282"/>
      <c r="H831" s="1282"/>
      <c r="I831" s="1282"/>
      <c r="J831" s="1282" t="s">
        <v>903</v>
      </c>
      <c r="K831" s="1282"/>
      <c r="L831" s="1282"/>
      <c r="AC831" s="1342"/>
      <c r="AH831" s="274"/>
    </row>
    <row r="832">
      <c r="B832" s="1282"/>
      <c r="C832" s="1282"/>
      <c r="D832" s="1282"/>
      <c r="E832" s="351"/>
      <c r="F832" s="1282"/>
      <c r="G832" s="1282"/>
      <c r="H832" s="1282"/>
      <c r="I832" s="1282"/>
      <c r="J832" s="1282" t="s">
        <v>903</v>
      </c>
      <c r="K832" s="1282"/>
      <c r="L832" s="1282"/>
      <c r="AC832" s="1342"/>
      <c r="AH832" s="274"/>
    </row>
    <row r="833">
      <c r="B833" s="1282"/>
      <c r="C833" s="1282"/>
      <c r="D833" s="1282"/>
      <c r="E833" s="351"/>
      <c r="F833" s="1282"/>
      <c r="G833" s="1282"/>
      <c r="H833" s="1282"/>
      <c r="I833" s="1282"/>
      <c r="J833" s="1282" t="s">
        <v>903</v>
      </c>
      <c r="K833" s="1282"/>
      <c r="L833" s="1282"/>
      <c r="AC833" s="1342"/>
      <c r="AH833" s="274"/>
    </row>
    <row r="834">
      <c r="B834" s="1282"/>
      <c r="C834" s="1282"/>
      <c r="D834" s="1282"/>
      <c r="E834" s="351"/>
      <c r="F834" s="1282"/>
      <c r="G834" s="1282"/>
      <c r="H834" s="1282"/>
      <c r="I834" s="1282"/>
      <c r="J834" s="1282" t="s">
        <v>903</v>
      </c>
      <c r="K834" s="1282"/>
      <c r="L834" s="1282"/>
      <c r="AC834" s="1342"/>
      <c r="AH834" s="274"/>
    </row>
    <row r="835">
      <c r="B835" s="1282"/>
      <c r="C835" s="1282"/>
      <c r="D835" s="1282"/>
      <c r="E835" s="351"/>
      <c r="F835" s="1282"/>
      <c r="G835" s="1282"/>
      <c r="H835" s="1282"/>
      <c r="I835" s="1282"/>
      <c r="J835" s="1282" t="s">
        <v>903</v>
      </c>
      <c r="K835" s="1282"/>
      <c r="L835" s="1282"/>
      <c r="AC835" s="1342"/>
      <c r="AH835" s="274"/>
    </row>
    <row r="836">
      <c r="B836" s="1282"/>
      <c r="C836" s="1282"/>
      <c r="D836" s="1282"/>
      <c r="E836" s="351"/>
      <c r="F836" s="1282"/>
      <c r="G836" s="1282"/>
      <c r="H836" s="1282"/>
      <c r="I836" s="1282"/>
      <c r="J836" s="1282" t="s">
        <v>903</v>
      </c>
      <c r="K836" s="1282"/>
      <c r="L836" s="1282"/>
      <c r="AC836" s="1342"/>
      <c r="AH836" s="274"/>
    </row>
    <row r="837">
      <c r="B837" s="1282"/>
      <c r="C837" s="1282"/>
      <c r="D837" s="1282"/>
      <c r="E837" s="351"/>
      <c r="F837" s="1282"/>
      <c r="G837" s="1282"/>
      <c r="H837" s="1282"/>
      <c r="I837" s="1282"/>
      <c r="J837" s="1282" t="s">
        <v>903</v>
      </c>
      <c r="K837" s="1282"/>
      <c r="L837" s="1282"/>
      <c r="AC837" s="1342"/>
      <c r="AH837" s="274"/>
    </row>
    <row r="838">
      <c r="B838" s="1282"/>
      <c r="C838" s="1282"/>
      <c r="D838" s="1282"/>
      <c r="E838" s="351"/>
      <c r="F838" s="1282"/>
      <c r="G838" s="1282"/>
      <c r="H838" s="1282"/>
      <c r="I838" s="1282"/>
      <c r="J838" s="1282" t="s">
        <v>903</v>
      </c>
      <c r="K838" s="1282"/>
      <c r="L838" s="1282"/>
      <c r="AC838" s="1342"/>
      <c r="AH838" s="274"/>
    </row>
    <row r="839">
      <c r="B839" s="1282"/>
      <c r="C839" s="1282"/>
      <c r="D839" s="1282"/>
      <c r="E839" s="351"/>
      <c r="F839" s="1282"/>
      <c r="G839" s="1282"/>
      <c r="H839" s="1282"/>
      <c r="I839" s="1282"/>
      <c r="J839" s="1282" t="s">
        <v>903</v>
      </c>
      <c r="K839" s="1282"/>
      <c r="L839" s="1282"/>
      <c r="AC839" s="1342"/>
      <c r="AH839" s="274"/>
    </row>
    <row r="840">
      <c r="B840" s="1282"/>
      <c r="C840" s="1282"/>
      <c r="D840" s="1282"/>
      <c r="E840" s="351"/>
      <c r="F840" s="1282"/>
      <c r="G840" s="1282"/>
      <c r="H840" s="1282"/>
      <c r="I840" s="1282"/>
      <c r="J840" s="1282" t="s">
        <v>903</v>
      </c>
      <c r="K840" s="1282"/>
      <c r="L840" s="1282"/>
      <c r="AC840" s="1342"/>
      <c r="AH840" s="274"/>
    </row>
    <row r="841">
      <c r="B841" s="1282"/>
      <c r="C841" s="1282"/>
      <c r="D841" s="1282"/>
      <c r="E841" s="351"/>
      <c r="F841" s="1282"/>
      <c r="G841" s="1282"/>
      <c r="H841" s="1282"/>
      <c r="I841" s="1282"/>
      <c r="J841" s="1282" t="s">
        <v>903</v>
      </c>
      <c r="K841" s="1282"/>
      <c r="L841" s="1282"/>
      <c r="AC841" s="1342"/>
      <c r="AH841" s="274"/>
    </row>
    <row r="842">
      <c r="B842" s="1282"/>
      <c r="C842" s="1282"/>
      <c r="D842" s="1282"/>
      <c r="E842" s="351"/>
      <c r="F842" s="1282"/>
      <c r="G842" s="1282"/>
      <c r="H842" s="1282"/>
      <c r="I842" s="1282"/>
      <c r="J842" s="1282" t="s">
        <v>903</v>
      </c>
      <c r="K842" s="1282"/>
      <c r="L842" s="1282"/>
      <c r="AC842" s="1342"/>
      <c r="AH842" s="274"/>
    </row>
    <row r="843">
      <c r="B843" s="1282"/>
      <c r="C843" s="1282"/>
      <c r="D843" s="1282"/>
      <c r="E843" s="351"/>
      <c r="F843" s="1282"/>
      <c r="G843" s="1282"/>
      <c r="H843" s="1282"/>
      <c r="I843" s="1282"/>
      <c r="J843" s="1282" t="s">
        <v>903</v>
      </c>
      <c r="K843" s="1282"/>
      <c r="L843" s="1282"/>
      <c r="AC843" s="1342"/>
      <c r="AH843" s="274"/>
    </row>
    <row r="844">
      <c r="B844" s="1282"/>
      <c r="C844" s="1282"/>
      <c r="D844" s="1282"/>
      <c r="E844" s="351"/>
      <c r="F844" s="1282"/>
      <c r="G844" s="1282"/>
      <c r="H844" s="1282"/>
      <c r="I844" s="1282"/>
      <c r="J844" s="1282" t="s">
        <v>903</v>
      </c>
      <c r="K844" s="1282"/>
      <c r="L844" s="1282"/>
      <c r="AC844" s="1342"/>
      <c r="AH844" s="274"/>
    </row>
    <row r="845">
      <c r="B845" s="1282"/>
      <c r="C845" s="1282"/>
      <c r="D845" s="1282"/>
      <c r="E845" s="351"/>
      <c r="F845" s="1282"/>
      <c r="G845" s="1282"/>
      <c r="H845" s="1282"/>
      <c r="I845" s="1282"/>
      <c r="J845" s="1282" t="s">
        <v>903</v>
      </c>
      <c r="K845" s="1282"/>
      <c r="L845" s="1282"/>
      <c r="AC845" s="1342"/>
      <c r="AH845" s="274"/>
    </row>
    <row r="846">
      <c r="B846" s="1282"/>
      <c r="C846" s="1282"/>
      <c r="D846" s="1282"/>
      <c r="E846" s="351"/>
      <c r="F846" s="1282"/>
      <c r="G846" s="1282"/>
      <c r="H846" s="1282"/>
      <c r="I846" s="1282"/>
      <c r="J846" s="1282" t="s">
        <v>903</v>
      </c>
      <c r="K846" s="1282"/>
      <c r="L846" s="1282"/>
      <c r="AC846" s="1342"/>
      <c r="AH846" s="274"/>
    </row>
    <row r="847">
      <c r="B847" s="1282"/>
      <c r="C847" s="1282"/>
      <c r="D847" s="1282"/>
      <c r="E847" s="351"/>
      <c r="F847" s="1282"/>
      <c r="G847" s="1282"/>
      <c r="H847" s="1282"/>
      <c r="I847" s="1282"/>
      <c r="J847" s="1282" t="s">
        <v>903</v>
      </c>
      <c r="K847" s="1282"/>
      <c r="L847" s="1282"/>
      <c r="AC847" s="1342"/>
      <c r="AH847" s="274"/>
    </row>
    <row r="848">
      <c r="B848" s="1282"/>
      <c r="C848" s="1282"/>
      <c r="D848" s="1282"/>
      <c r="E848" s="351"/>
      <c r="F848" s="1282"/>
      <c r="G848" s="1282"/>
      <c r="H848" s="1282"/>
      <c r="I848" s="1282"/>
      <c r="J848" s="1282" t="s">
        <v>903</v>
      </c>
      <c r="K848" s="1282"/>
      <c r="L848" s="1282"/>
      <c r="AC848" s="1342"/>
      <c r="AH848" s="274"/>
    </row>
    <row r="849">
      <c r="B849" s="1282"/>
      <c r="C849" s="1282"/>
      <c r="D849" s="1282"/>
      <c r="E849" s="351"/>
      <c r="F849" s="1282"/>
      <c r="G849" s="1282"/>
      <c r="H849" s="1282"/>
      <c r="I849" s="1282"/>
      <c r="J849" s="1282" t="s">
        <v>903</v>
      </c>
      <c r="K849" s="1282"/>
      <c r="L849" s="1282"/>
      <c r="AC849" s="1342"/>
      <c r="AH849" s="274"/>
    </row>
    <row r="850">
      <c r="B850" s="1282"/>
      <c r="C850" s="1282"/>
      <c r="D850" s="1282"/>
      <c r="E850" s="351"/>
      <c r="F850" s="1282"/>
      <c r="G850" s="1282"/>
      <c r="H850" s="1282"/>
      <c r="I850" s="1282"/>
      <c r="J850" s="1282" t="s">
        <v>903</v>
      </c>
      <c r="K850" s="1282"/>
      <c r="L850" s="1282"/>
      <c r="AC850" s="1342"/>
      <c r="AH850" s="274"/>
    </row>
    <row r="851">
      <c r="B851" s="1282"/>
      <c r="C851" s="1282"/>
      <c r="D851" s="1282"/>
      <c r="E851" s="351"/>
      <c r="F851" s="1282"/>
      <c r="G851" s="1282"/>
      <c r="H851" s="1282"/>
      <c r="I851" s="1282"/>
      <c r="J851" s="1282" t="s">
        <v>903</v>
      </c>
      <c r="K851" s="1282"/>
      <c r="L851" s="1282"/>
      <c r="AC851" s="1342"/>
      <c r="AH851" s="274"/>
    </row>
    <row r="852">
      <c r="B852" s="1282"/>
      <c r="C852" s="1282"/>
      <c r="D852" s="1282"/>
      <c r="E852" s="351"/>
      <c r="F852" s="1282"/>
      <c r="G852" s="1282"/>
      <c r="H852" s="1282"/>
      <c r="I852" s="1282"/>
      <c r="J852" s="1282" t="s">
        <v>903</v>
      </c>
      <c r="K852" s="1282"/>
      <c r="L852" s="1282"/>
      <c r="AC852" s="1342"/>
      <c r="AH852" s="274"/>
    </row>
    <row r="853">
      <c r="B853" s="1282"/>
      <c r="C853" s="1282"/>
      <c r="D853" s="1282"/>
      <c r="E853" s="351"/>
      <c r="F853" s="1282"/>
      <c r="G853" s="1282"/>
      <c r="H853" s="1282"/>
      <c r="I853" s="1282"/>
      <c r="J853" s="1282" t="s">
        <v>903</v>
      </c>
      <c r="K853" s="1282"/>
      <c r="L853" s="1282"/>
      <c r="AC853" s="1342"/>
      <c r="AH853" s="274"/>
    </row>
    <row r="854">
      <c r="B854" s="1282"/>
      <c r="C854" s="1282"/>
      <c r="D854" s="1282"/>
      <c r="E854" s="351"/>
      <c r="F854" s="1282"/>
      <c r="G854" s="1282"/>
      <c r="H854" s="1282"/>
      <c r="I854" s="1282"/>
      <c r="J854" s="1282" t="s">
        <v>903</v>
      </c>
      <c r="K854" s="1282"/>
      <c r="L854" s="1282"/>
      <c r="AC854" s="1342"/>
      <c r="AH854" s="274"/>
    </row>
    <row r="855">
      <c r="B855" s="1282"/>
      <c r="C855" s="1282"/>
      <c r="D855" s="1282"/>
      <c r="E855" s="351"/>
      <c r="F855" s="1282"/>
      <c r="G855" s="1282"/>
      <c r="H855" s="1282"/>
      <c r="I855" s="1282"/>
      <c r="J855" s="1282" t="s">
        <v>903</v>
      </c>
      <c r="K855" s="1282"/>
      <c r="L855" s="1282"/>
      <c r="AC855" s="1342"/>
      <c r="AH855" s="274"/>
    </row>
    <row r="856">
      <c r="B856" s="1282"/>
      <c r="C856" s="1282"/>
      <c r="D856" s="1282"/>
      <c r="E856" s="351"/>
      <c r="F856" s="1282"/>
      <c r="G856" s="1282"/>
      <c r="H856" s="1282"/>
      <c r="I856" s="1282"/>
      <c r="J856" s="1282" t="s">
        <v>903</v>
      </c>
      <c r="K856" s="1282"/>
      <c r="L856" s="1282"/>
      <c r="AC856" s="1342"/>
      <c r="AH856" s="274"/>
    </row>
    <row r="857">
      <c r="B857" s="1282"/>
      <c r="C857" s="1282"/>
      <c r="D857" s="1282"/>
      <c r="E857" s="351"/>
      <c r="F857" s="1282"/>
      <c r="G857" s="1282"/>
      <c r="H857" s="1282"/>
      <c r="I857" s="1282"/>
      <c r="J857" s="1282" t="s">
        <v>903</v>
      </c>
      <c r="K857" s="1282"/>
      <c r="L857" s="1282"/>
      <c r="AC857" s="1342"/>
      <c r="AH857" s="274"/>
    </row>
    <row r="858">
      <c r="B858" s="1282"/>
      <c r="C858" s="1282"/>
      <c r="D858" s="1282"/>
      <c r="E858" s="351"/>
      <c r="F858" s="1282"/>
      <c r="G858" s="1282"/>
      <c r="H858" s="1282"/>
      <c r="I858" s="1282"/>
      <c r="J858" s="1282" t="s">
        <v>903</v>
      </c>
      <c r="K858" s="1282"/>
      <c r="L858" s="1282"/>
      <c r="AC858" s="1342"/>
      <c r="AH858" s="274"/>
    </row>
    <row r="859">
      <c r="B859" s="1282"/>
      <c r="C859" s="1282"/>
      <c r="D859" s="1282"/>
      <c r="E859" s="351"/>
      <c r="F859" s="1282"/>
      <c r="G859" s="1282"/>
      <c r="H859" s="1282"/>
      <c r="I859" s="1282"/>
      <c r="J859" s="1282" t="s">
        <v>903</v>
      </c>
      <c r="K859" s="1282"/>
      <c r="L859" s="1282"/>
      <c r="AC859" s="1342"/>
      <c r="AH859" s="274"/>
    </row>
    <row r="860">
      <c r="B860" s="1282"/>
      <c r="C860" s="1282"/>
      <c r="D860" s="1282"/>
      <c r="E860" s="351"/>
      <c r="F860" s="1282"/>
      <c r="G860" s="1282"/>
      <c r="H860" s="1282"/>
      <c r="I860" s="1282"/>
      <c r="J860" s="1282" t="s">
        <v>903</v>
      </c>
      <c r="K860" s="1282"/>
      <c r="L860" s="1282"/>
      <c r="AC860" s="1342"/>
      <c r="AH860" s="274"/>
    </row>
    <row r="861">
      <c r="B861" s="1282"/>
      <c r="C861" s="1282"/>
      <c r="D861" s="1282"/>
      <c r="E861" s="351"/>
      <c r="F861" s="1282"/>
      <c r="G861" s="1282"/>
      <c r="H861" s="1282"/>
      <c r="I861" s="1282"/>
      <c r="J861" s="1282" t="s">
        <v>903</v>
      </c>
      <c r="K861" s="1282"/>
      <c r="L861" s="1282"/>
      <c r="AC861" s="1342"/>
      <c r="AH861" s="274"/>
    </row>
    <row r="862">
      <c r="B862" s="1282"/>
      <c r="C862" s="1282"/>
      <c r="D862" s="1282"/>
      <c r="E862" s="351"/>
      <c r="F862" s="1282"/>
      <c r="G862" s="1282"/>
      <c r="H862" s="1282"/>
      <c r="I862" s="1282"/>
      <c r="J862" s="1282" t="s">
        <v>903</v>
      </c>
      <c r="K862" s="1282"/>
      <c r="L862" s="1282"/>
      <c r="AC862" s="1342"/>
      <c r="AH862" s="274"/>
    </row>
    <row r="863">
      <c r="B863" s="1282"/>
      <c r="C863" s="1282"/>
      <c r="D863" s="1282"/>
      <c r="E863" s="351"/>
      <c r="F863" s="1282"/>
      <c r="G863" s="1282"/>
      <c r="H863" s="1282"/>
      <c r="I863" s="1282"/>
      <c r="J863" s="1282" t="s">
        <v>903</v>
      </c>
      <c r="K863" s="1282"/>
      <c r="L863" s="1282"/>
      <c r="AC863" s="1342"/>
      <c r="AH863" s="274"/>
    </row>
    <row r="864">
      <c r="B864" s="1282"/>
      <c r="C864" s="1282"/>
      <c r="D864" s="1282"/>
      <c r="E864" s="351"/>
      <c r="F864" s="1282"/>
      <c r="G864" s="1282"/>
      <c r="H864" s="1282"/>
      <c r="I864" s="1282"/>
      <c r="J864" s="1282" t="s">
        <v>903</v>
      </c>
      <c r="K864" s="1282"/>
      <c r="L864" s="1282"/>
      <c r="AC864" s="1342"/>
      <c r="AH864" s="274"/>
    </row>
    <row r="865">
      <c r="B865" s="1282"/>
      <c r="C865" s="1282"/>
      <c r="D865" s="1282"/>
      <c r="E865" s="351"/>
      <c r="F865" s="1282"/>
      <c r="G865" s="1282"/>
      <c r="H865" s="1282"/>
      <c r="I865" s="1282"/>
      <c r="J865" s="1282" t="s">
        <v>903</v>
      </c>
      <c r="K865" s="1282"/>
      <c r="L865" s="1282"/>
      <c r="AC865" s="1342"/>
      <c r="AH865" s="274"/>
    </row>
    <row r="866">
      <c r="B866" s="1282"/>
      <c r="C866" s="1282"/>
      <c r="D866" s="1282"/>
      <c r="E866" s="351"/>
      <c r="F866" s="1282"/>
      <c r="G866" s="1282"/>
      <c r="H866" s="1282"/>
      <c r="I866" s="1282"/>
      <c r="J866" s="1282" t="s">
        <v>903</v>
      </c>
      <c r="K866" s="1282"/>
      <c r="L866" s="1282"/>
      <c r="AC866" s="1342"/>
      <c r="AH866" s="274"/>
    </row>
    <row r="867">
      <c r="B867" s="1282"/>
      <c r="C867" s="1282"/>
      <c r="D867" s="1282"/>
      <c r="E867" s="351"/>
      <c r="F867" s="1282"/>
      <c r="G867" s="1282"/>
      <c r="H867" s="1282"/>
      <c r="I867" s="1282"/>
      <c r="J867" s="1282" t="s">
        <v>903</v>
      </c>
      <c r="K867" s="1282"/>
      <c r="L867" s="1282"/>
      <c r="AC867" s="1342"/>
      <c r="AH867" s="274"/>
    </row>
    <row r="868">
      <c r="B868" s="1282"/>
      <c r="C868" s="1282"/>
      <c r="D868" s="1282"/>
      <c r="E868" s="351"/>
      <c r="F868" s="1282"/>
      <c r="G868" s="1282"/>
      <c r="H868" s="1282"/>
      <c r="I868" s="1282"/>
      <c r="J868" s="1282" t="s">
        <v>903</v>
      </c>
      <c r="K868" s="1282"/>
      <c r="L868" s="1282"/>
      <c r="AC868" s="1342"/>
      <c r="AH868" s="274"/>
    </row>
    <row r="869">
      <c r="B869" s="1282"/>
      <c r="C869" s="1282"/>
      <c r="D869" s="1282"/>
      <c r="E869" s="351"/>
      <c r="F869" s="1282"/>
      <c r="G869" s="1282"/>
      <c r="H869" s="1282"/>
      <c r="I869" s="1282"/>
      <c r="J869" s="1282" t="s">
        <v>903</v>
      </c>
      <c r="K869" s="1282"/>
      <c r="L869" s="1282"/>
      <c r="AC869" s="1342"/>
      <c r="AH869" s="274"/>
    </row>
    <row r="870">
      <c r="B870" s="1282"/>
      <c r="C870" s="1282"/>
      <c r="D870" s="1282"/>
      <c r="E870" s="351"/>
      <c r="F870" s="1282"/>
      <c r="G870" s="1282"/>
      <c r="H870" s="1282"/>
      <c r="I870" s="1282"/>
      <c r="J870" s="1282" t="s">
        <v>903</v>
      </c>
      <c r="K870" s="1282"/>
      <c r="L870" s="1282"/>
      <c r="AC870" s="1342"/>
      <c r="AH870" s="274"/>
    </row>
    <row r="871">
      <c r="B871" s="1282"/>
      <c r="C871" s="1282"/>
      <c r="D871" s="1282"/>
      <c r="E871" s="351"/>
      <c r="F871" s="1282"/>
      <c r="G871" s="1282"/>
      <c r="H871" s="1282"/>
      <c r="I871" s="1282"/>
      <c r="J871" s="1282" t="s">
        <v>903</v>
      </c>
      <c r="K871" s="1282"/>
      <c r="L871" s="1282"/>
      <c r="AC871" s="1342"/>
      <c r="AH871" s="274"/>
    </row>
    <row r="872">
      <c r="B872" s="1282"/>
      <c r="C872" s="1282"/>
      <c r="D872" s="1282"/>
      <c r="E872" s="351"/>
      <c r="F872" s="1282"/>
      <c r="G872" s="1282"/>
      <c r="H872" s="1282"/>
      <c r="I872" s="1282"/>
      <c r="J872" s="1282" t="s">
        <v>903</v>
      </c>
      <c r="K872" s="1282"/>
      <c r="L872" s="1282"/>
      <c r="AC872" s="1342"/>
      <c r="AH872" s="274"/>
    </row>
    <row r="873">
      <c r="B873" s="1282"/>
      <c r="C873" s="1282"/>
      <c r="D873" s="1282"/>
      <c r="E873" s="351"/>
      <c r="F873" s="1282"/>
      <c r="G873" s="1282"/>
      <c r="H873" s="1282"/>
      <c r="I873" s="1282"/>
      <c r="J873" s="1282" t="s">
        <v>903</v>
      </c>
      <c r="K873" s="1282"/>
      <c r="L873" s="1282"/>
      <c r="AC873" s="1342"/>
      <c r="AH873" s="274"/>
    </row>
    <row r="874">
      <c r="B874" s="1282"/>
      <c r="C874" s="1282"/>
      <c r="D874" s="1282"/>
      <c r="E874" s="351"/>
      <c r="F874" s="1282"/>
      <c r="G874" s="1282"/>
      <c r="H874" s="1282"/>
      <c r="I874" s="1282"/>
      <c r="J874" s="1282" t="s">
        <v>903</v>
      </c>
      <c r="K874" s="1282"/>
      <c r="L874" s="1282"/>
      <c r="AC874" s="1342"/>
      <c r="AH874" s="274"/>
    </row>
    <row r="875">
      <c r="B875" s="1282"/>
      <c r="C875" s="1282"/>
      <c r="D875" s="1282"/>
      <c r="E875" s="351"/>
      <c r="F875" s="1282"/>
      <c r="G875" s="1282"/>
      <c r="H875" s="1282"/>
      <c r="I875" s="1282"/>
      <c r="J875" s="1282" t="s">
        <v>903</v>
      </c>
      <c r="K875" s="1282"/>
      <c r="L875" s="1282"/>
      <c r="AC875" s="1342"/>
      <c r="AH875" s="274"/>
    </row>
    <row r="876">
      <c r="B876" s="1282"/>
      <c r="C876" s="1282"/>
      <c r="D876" s="1282"/>
      <c r="E876" s="351"/>
      <c r="F876" s="1282"/>
      <c r="G876" s="1282"/>
      <c r="H876" s="1282"/>
      <c r="I876" s="1282"/>
      <c r="J876" s="1282" t="s">
        <v>903</v>
      </c>
      <c r="K876" s="1282"/>
      <c r="L876" s="1282"/>
      <c r="AC876" s="1342"/>
      <c r="AH876" s="274"/>
    </row>
    <row r="877">
      <c r="B877" s="1282"/>
      <c r="C877" s="1282"/>
      <c r="D877" s="1282"/>
      <c r="E877" s="351"/>
      <c r="F877" s="1282"/>
      <c r="G877" s="1282"/>
      <c r="H877" s="1282"/>
      <c r="I877" s="1282"/>
      <c r="J877" s="1282" t="s">
        <v>903</v>
      </c>
      <c r="K877" s="1282"/>
      <c r="L877" s="1282"/>
      <c r="AC877" s="1342"/>
      <c r="AH877" s="274"/>
    </row>
    <row r="878">
      <c r="B878" s="1282"/>
      <c r="C878" s="1282"/>
      <c r="D878" s="1282"/>
      <c r="E878" s="351"/>
      <c r="F878" s="1282"/>
      <c r="G878" s="1282"/>
      <c r="H878" s="1282"/>
      <c r="I878" s="1282"/>
      <c r="J878" s="1282" t="s">
        <v>903</v>
      </c>
      <c r="K878" s="1282"/>
      <c r="L878" s="1282"/>
      <c r="AC878" s="1342"/>
      <c r="AH878" s="274"/>
    </row>
    <row r="879">
      <c r="B879" s="1282"/>
      <c r="C879" s="1282"/>
      <c r="D879" s="1282"/>
      <c r="E879" s="351"/>
      <c r="F879" s="1282"/>
      <c r="G879" s="1282"/>
      <c r="H879" s="1282"/>
      <c r="I879" s="1282"/>
      <c r="J879" s="1282" t="s">
        <v>903</v>
      </c>
      <c r="K879" s="1282"/>
      <c r="L879" s="1282"/>
      <c r="AC879" s="1342"/>
      <c r="AH879" s="274"/>
    </row>
    <row r="880">
      <c r="B880" s="1282"/>
      <c r="C880" s="1282"/>
      <c r="D880" s="1282"/>
      <c r="E880" s="351"/>
      <c r="F880" s="1282"/>
      <c r="G880" s="1282"/>
      <c r="H880" s="1282"/>
      <c r="I880" s="1282"/>
      <c r="J880" s="1282" t="s">
        <v>903</v>
      </c>
      <c r="K880" s="1282"/>
      <c r="L880" s="1282"/>
      <c r="AC880" s="1342"/>
      <c r="AH880" s="274"/>
    </row>
    <row r="881">
      <c r="B881" s="1282"/>
      <c r="C881" s="1282"/>
      <c r="D881" s="1282"/>
      <c r="E881" s="351"/>
      <c r="F881" s="1282"/>
      <c r="G881" s="1282"/>
      <c r="H881" s="1282"/>
      <c r="I881" s="1282"/>
      <c r="J881" s="1282" t="s">
        <v>903</v>
      </c>
      <c r="K881" s="1282"/>
      <c r="L881" s="1282"/>
      <c r="AC881" s="1342"/>
      <c r="AH881" s="274"/>
    </row>
    <row r="882">
      <c r="B882" s="1282"/>
      <c r="C882" s="1282"/>
      <c r="D882" s="1282"/>
      <c r="E882" s="351"/>
      <c r="F882" s="1282"/>
      <c r="G882" s="1282"/>
      <c r="H882" s="1282"/>
      <c r="I882" s="1282"/>
      <c r="J882" s="1282" t="s">
        <v>903</v>
      </c>
      <c r="K882" s="1282"/>
      <c r="L882" s="1282"/>
      <c r="AC882" s="1342"/>
      <c r="AH882" s="274"/>
    </row>
    <row r="883">
      <c r="B883" s="1282"/>
      <c r="C883" s="1282"/>
      <c r="D883" s="1282"/>
      <c r="E883" s="351"/>
      <c r="F883" s="1282"/>
      <c r="G883" s="1282"/>
      <c r="H883" s="1282"/>
      <c r="I883" s="1282"/>
      <c r="J883" s="1282" t="s">
        <v>903</v>
      </c>
      <c r="K883" s="1282"/>
      <c r="L883" s="1282"/>
      <c r="AC883" s="1342"/>
      <c r="AH883" s="274"/>
    </row>
    <row r="884">
      <c r="B884" s="1282"/>
      <c r="C884" s="1282"/>
      <c r="D884" s="1282"/>
      <c r="E884" s="351"/>
      <c r="F884" s="1282"/>
      <c r="G884" s="1282"/>
      <c r="H884" s="1282"/>
      <c r="I884" s="1282"/>
      <c r="J884" s="1282" t="s">
        <v>903</v>
      </c>
      <c r="K884" s="1282"/>
      <c r="L884" s="1282"/>
      <c r="AC884" s="1342"/>
      <c r="AH884" s="274"/>
    </row>
    <row r="885">
      <c r="B885" s="1282"/>
      <c r="C885" s="1282"/>
      <c r="D885" s="1282"/>
      <c r="E885" s="351"/>
      <c r="F885" s="1282"/>
      <c r="G885" s="1282"/>
      <c r="H885" s="1282"/>
      <c r="I885" s="1282"/>
      <c r="J885" s="1282" t="s">
        <v>903</v>
      </c>
      <c r="K885" s="1282"/>
      <c r="L885" s="1282"/>
      <c r="AC885" s="1342"/>
      <c r="AH885" s="274"/>
    </row>
    <row r="886">
      <c r="B886" s="1282"/>
      <c r="C886" s="1282"/>
      <c r="D886" s="1282"/>
      <c r="E886" s="351"/>
      <c r="F886" s="1282"/>
      <c r="G886" s="1282"/>
      <c r="H886" s="1282"/>
      <c r="I886" s="1282"/>
      <c r="J886" s="1282" t="s">
        <v>903</v>
      </c>
      <c r="K886" s="1282"/>
      <c r="L886" s="1282"/>
      <c r="AC886" s="1342"/>
      <c r="AH886" s="274"/>
    </row>
    <row r="887">
      <c r="B887" s="1282"/>
      <c r="C887" s="1282"/>
      <c r="D887" s="1282"/>
      <c r="E887" s="351"/>
      <c r="F887" s="1282"/>
      <c r="G887" s="1282"/>
      <c r="H887" s="1282"/>
      <c r="I887" s="1282"/>
      <c r="J887" s="1282" t="s">
        <v>903</v>
      </c>
      <c r="K887" s="1282"/>
      <c r="L887" s="1282"/>
      <c r="AC887" s="1342"/>
      <c r="AH887" s="274"/>
    </row>
    <row r="888">
      <c r="B888" s="1282"/>
      <c r="C888" s="1282"/>
      <c r="D888" s="1282"/>
      <c r="E888" s="351"/>
      <c r="F888" s="1282"/>
      <c r="G888" s="1282"/>
      <c r="H888" s="1282"/>
      <c r="I888" s="1282"/>
      <c r="J888" s="1282" t="s">
        <v>903</v>
      </c>
      <c r="K888" s="1282"/>
      <c r="L888" s="1282"/>
      <c r="AC888" s="1342"/>
      <c r="AH888" s="274"/>
    </row>
    <row r="889">
      <c r="B889" s="1282"/>
      <c r="C889" s="1282"/>
      <c r="D889" s="1282"/>
      <c r="E889" s="351"/>
      <c r="F889" s="1282"/>
      <c r="G889" s="1282"/>
      <c r="H889" s="1282"/>
      <c r="I889" s="1282"/>
      <c r="J889" s="1282" t="s">
        <v>903</v>
      </c>
      <c r="K889" s="1282"/>
      <c r="L889" s="1282"/>
      <c r="AC889" s="1342"/>
      <c r="AH889" s="274"/>
    </row>
    <row r="890">
      <c r="B890" s="1282"/>
      <c r="C890" s="1282"/>
      <c r="D890" s="1282"/>
      <c r="E890" s="351"/>
      <c r="F890" s="1282"/>
      <c r="G890" s="1282"/>
      <c r="H890" s="1282"/>
      <c r="I890" s="1282"/>
      <c r="J890" s="1282" t="s">
        <v>903</v>
      </c>
      <c r="K890" s="1282"/>
      <c r="L890" s="1282"/>
      <c r="AC890" s="1342"/>
      <c r="AH890" s="274"/>
    </row>
    <row r="891">
      <c r="B891" s="1282"/>
      <c r="C891" s="1282"/>
      <c r="D891" s="1282"/>
      <c r="E891" s="351"/>
      <c r="F891" s="1282"/>
      <c r="G891" s="1282"/>
      <c r="H891" s="1282"/>
      <c r="I891" s="1282"/>
      <c r="J891" s="1282" t="s">
        <v>903</v>
      </c>
      <c r="K891" s="1282"/>
      <c r="L891" s="1282"/>
      <c r="AC891" s="1342"/>
      <c r="AH891" s="274"/>
    </row>
    <row r="892">
      <c r="B892" s="1282"/>
      <c r="C892" s="1282"/>
      <c r="D892" s="1282"/>
      <c r="E892" s="351"/>
      <c r="F892" s="1282"/>
      <c r="G892" s="1282"/>
      <c r="H892" s="1282"/>
      <c r="I892" s="1282"/>
      <c r="J892" s="1282" t="s">
        <v>903</v>
      </c>
      <c r="K892" s="1282"/>
      <c r="L892" s="1282"/>
      <c r="AC892" s="1342"/>
      <c r="AH892" s="274"/>
    </row>
    <row r="893">
      <c r="B893" s="1282"/>
      <c r="C893" s="1282"/>
      <c r="D893" s="1282"/>
      <c r="E893" s="351"/>
      <c r="F893" s="1282"/>
      <c r="G893" s="1282"/>
      <c r="H893" s="1282"/>
      <c r="I893" s="1282"/>
      <c r="J893" s="1282" t="s">
        <v>903</v>
      </c>
      <c r="K893" s="1282"/>
      <c r="L893" s="1282"/>
      <c r="AC893" s="1342"/>
      <c r="AH893" s="274"/>
    </row>
    <row r="894">
      <c r="B894" s="1282"/>
      <c r="C894" s="1282"/>
      <c r="D894" s="1282"/>
      <c r="E894" s="351"/>
      <c r="F894" s="1282"/>
      <c r="G894" s="1282"/>
      <c r="H894" s="1282"/>
      <c r="I894" s="1282"/>
      <c r="J894" s="1282" t="s">
        <v>903</v>
      </c>
      <c r="K894" s="1282"/>
      <c r="L894" s="1282"/>
      <c r="AC894" s="1342"/>
      <c r="AH894" s="274"/>
    </row>
    <row r="895">
      <c r="B895" s="1282"/>
      <c r="C895" s="1282"/>
      <c r="D895" s="1282"/>
      <c r="E895" s="351"/>
      <c r="F895" s="1282"/>
      <c r="G895" s="1282"/>
      <c r="H895" s="1282"/>
      <c r="I895" s="1282"/>
      <c r="J895" s="1282" t="s">
        <v>903</v>
      </c>
      <c r="K895" s="1282"/>
      <c r="L895" s="1282"/>
      <c r="AC895" s="1342"/>
      <c r="AH895" s="274"/>
    </row>
    <row r="896">
      <c r="B896" s="1282"/>
      <c r="C896" s="1282"/>
      <c r="D896" s="1282"/>
      <c r="E896" s="351"/>
      <c r="F896" s="1282"/>
      <c r="G896" s="1282"/>
      <c r="H896" s="1282"/>
      <c r="I896" s="1282"/>
      <c r="J896" s="1282" t="s">
        <v>903</v>
      </c>
      <c r="K896" s="1282"/>
      <c r="L896" s="1282"/>
      <c r="AC896" s="1342"/>
      <c r="AH896" s="274"/>
    </row>
    <row r="897">
      <c r="B897" s="1282"/>
      <c r="C897" s="1282"/>
      <c r="D897" s="1282"/>
      <c r="E897" s="351"/>
      <c r="F897" s="1282"/>
      <c r="G897" s="1282"/>
      <c r="H897" s="1282"/>
      <c r="I897" s="1282"/>
      <c r="J897" s="1282" t="s">
        <v>903</v>
      </c>
      <c r="K897" s="1282"/>
      <c r="L897" s="1282"/>
      <c r="AC897" s="1342"/>
      <c r="AH897" s="274"/>
    </row>
    <row r="898">
      <c r="B898" s="1282"/>
      <c r="C898" s="1282"/>
      <c r="D898" s="1282"/>
      <c r="E898" s="351"/>
      <c r="F898" s="1282"/>
      <c r="G898" s="1282"/>
      <c r="H898" s="1282"/>
      <c r="I898" s="1282"/>
      <c r="J898" s="1282" t="s">
        <v>903</v>
      </c>
      <c r="K898" s="1282"/>
      <c r="L898" s="1282"/>
      <c r="AC898" s="1342"/>
      <c r="AH898" s="274"/>
    </row>
    <row r="899">
      <c r="B899" s="1282"/>
      <c r="C899" s="1282"/>
      <c r="D899" s="1282"/>
      <c r="E899" s="351"/>
      <c r="F899" s="1282"/>
      <c r="G899" s="1282"/>
      <c r="H899" s="1282"/>
      <c r="I899" s="1282"/>
      <c r="J899" s="1282" t="s">
        <v>903</v>
      </c>
      <c r="K899" s="1282"/>
      <c r="L899" s="1282"/>
      <c r="AC899" s="1342"/>
      <c r="AH899" s="274"/>
    </row>
    <row r="900">
      <c r="B900" s="1282"/>
      <c r="C900" s="1282"/>
      <c r="D900" s="1282"/>
      <c r="E900" s="351"/>
      <c r="F900" s="1282"/>
      <c r="G900" s="1282"/>
      <c r="H900" s="1282"/>
      <c r="I900" s="1282"/>
      <c r="J900" s="1282" t="s">
        <v>903</v>
      </c>
      <c r="K900" s="1282"/>
      <c r="L900" s="1282"/>
      <c r="AC900" s="1342"/>
      <c r="AH900" s="274"/>
    </row>
    <row r="901">
      <c r="B901" s="1282"/>
      <c r="C901" s="1282"/>
      <c r="D901" s="1282"/>
      <c r="E901" s="351"/>
      <c r="F901" s="1282"/>
      <c r="G901" s="1282"/>
      <c r="H901" s="1282"/>
      <c r="I901" s="1282"/>
      <c r="J901" s="1282" t="s">
        <v>903</v>
      </c>
      <c r="K901" s="1282"/>
      <c r="L901" s="1282"/>
      <c r="AC901" s="1342"/>
      <c r="AH901" s="274"/>
    </row>
    <row r="902">
      <c r="B902" s="1282"/>
      <c r="C902" s="1282"/>
      <c r="D902" s="1282"/>
      <c r="E902" s="351"/>
      <c r="F902" s="1282"/>
      <c r="G902" s="1282"/>
      <c r="H902" s="1282"/>
      <c r="I902" s="1282"/>
      <c r="J902" s="1282" t="s">
        <v>903</v>
      </c>
      <c r="K902" s="1282"/>
      <c r="L902" s="1282"/>
      <c r="AC902" s="1342"/>
      <c r="AH902" s="274"/>
    </row>
    <row r="903">
      <c r="B903" s="1282"/>
      <c r="C903" s="1282"/>
      <c r="D903" s="1282"/>
      <c r="E903" s="351"/>
      <c r="F903" s="1282"/>
      <c r="G903" s="1282"/>
      <c r="H903" s="1282"/>
      <c r="I903" s="1282"/>
      <c r="J903" s="1282" t="s">
        <v>903</v>
      </c>
      <c r="K903" s="1282"/>
      <c r="L903" s="1282"/>
      <c r="AC903" s="1342"/>
      <c r="AH903" s="274"/>
    </row>
    <row r="904">
      <c r="B904" s="1282"/>
      <c r="C904" s="1282"/>
      <c r="D904" s="1282"/>
      <c r="E904" s="351"/>
      <c r="F904" s="1282"/>
      <c r="G904" s="1282"/>
      <c r="H904" s="1282"/>
      <c r="I904" s="1282"/>
      <c r="J904" s="1282" t="s">
        <v>903</v>
      </c>
      <c r="K904" s="1282"/>
      <c r="L904" s="1282"/>
      <c r="AC904" s="1342"/>
      <c r="AH904" s="274"/>
    </row>
    <row r="905">
      <c r="B905" s="1282"/>
      <c r="C905" s="1282"/>
      <c r="D905" s="1282"/>
      <c r="E905" s="351"/>
      <c r="F905" s="1282"/>
      <c r="G905" s="1282"/>
      <c r="H905" s="1282"/>
      <c r="I905" s="1282"/>
      <c r="J905" s="1282" t="s">
        <v>903</v>
      </c>
      <c r="K905" s="1282"/>
      <c r="L905" s="1282"/>
      <c r="AC905" s="1342"/>
      <c r="AH905" s="274"/>
    </row>
    <row r="906">
      <c r="B906" s="1282"/>
      <c r="C906" s="1282"/>
      <c r="D906" s="1282"/>
      <c r="E906" s="351"/>
      <c r="F906" s="1282"/>
      <c r="G906" s="1282"/>
      <c r="H906" s="1282"/>
      <c r="I906" s="1282"/>
      <c r="J906" s="1282" t="s">
        <v>903</v>
      </c>
      <c r="K906" s="1282"/>
      <c r="L906" s="1282"/>
      <c r="AC906" s="1342"/>
      <c r="AH906" s="274"/>
    </row>
    <row r="907">
      <c r="B907" s="1282"/>
      <c r="C907" s="1282"/>
      <c r="D907" s="1282"/>
      <c r="E907" s="351"/>
      <c r="F907" s="1282"/>
      <c r="G907" s="1282"/>
      <c r="H907" s="1282"/>
      <c r="I907" s="1282"/>
      <c r="J907" s="1282" t="s">
        <v>903</v>
      </c>
      <c r="K907" s="1282"/>
      <c r="L907" s="1282"/>
      <c r="AC907" s="1342"/>
      <c r="AH907" s="274"/>
    </row>
    <row r="908">
      <c r="B908" s="1282"/>
      <c r="C908" s="1282"/>
      <c r="D908" s="1282"/>
      <c r="E908" s="351"/>
      <c r="F908" s="1282"/>
      <c r="G908" s="1282"/>
      <c r="H908" s="1282"/>
      <c r="I908" s="1282"/>
      <c r="J908" s="1282" t="s">
        <v>903</v>
      </c>
      <c r="K908" s="1282"/>
      <c r="L908" s="1282"/>
      <c r="AC908" s="1342"/>
      <c r="AH908" s="274"/>
    </row>
    <row r="909">
      <c r="B909" s="1282"/>
      <c r="C909" s="1282"/>
      <c r="D909" s="1282"/>
      <c r="E909" s="351"/>
      <c r="F909" s="1282"/>
      <c r="G909" s="1282"/>
      <c r="H909" s="1282"/>
      <c r="I909" s="1282"/>
      <c r="J909" s="1282" t="s">
        <v>903</v>
      </c>
      <c r="K909" s="1282"/>
      <c r="L909" s="1282"/>
      <c r="AC909" s="1342"/>
      <c r="AH909" s="274"/>
    </row>
    <row r="910">
      <c r="B910" s="1282"/>
      <c r="C910" s="1282"/>
      <c r="D910" s="1282"/>
      <c r="E910" s="351"/>
      <c r="F910" s="1282"/>
      <c r="G910" s="1282"/>
      <c r="H910" s="1282"/>
      <c r="I910" s="1282"/>
      <c r="J910" s="1282" t="s">
        <v>903</v>
      </c>
      <c r="K910" s="1282"/>
      <c r="L910" s="1282"/>
      <c r="AC910" s="1342"/>
      <c r="AH910" s="274"/>
    </row>
    <row r="911">
      <c r="B911" s="1282"/>
      <c r="C911" s="1282"/>
      <c r="D911" s="1282"/>
      <c r="E911" s="351"/>
      <c r="F911" s="1282"/>
      <c r="G911" s="1282"/>
      <c r="H911" s="1282"/>
      <c r="I911" s="1282"/>
      <c r="J911" s="1282" t="s">
        <v>903</v>
      </c>
      <c r="K911" s="1282"/>
      <c r="L911" s="1282"/>
      <c r="AC911" s="1342"/>
      <c r="AH911" s="274"/>
    </row>
    <row r="912">
      <c r="B912" s="1282"/>
      <c r="C912" s="1282"/>
      <c r="D912" s="1282"/>
      <c r="E912" s="351"/>
      <c r="F912" s="1282"/>
      <c r="G912" s="1282"/>
      <c r="H912" s="1282"/>
      <c r="I912" s="1282"/>
      <c r="J912" s="1282" t="s">
        <v>903</v>
      </c>
      <c r="K912" s="1282"/>
      <c r="L912" s="1282"/>
      <c r="AC912" s="1342"/>
      <c r="AH912" s="274"/>
    </row>
    <row r="913">
      <c r="B913" s="1282"/>
      <c r="C913" s="1282"/>
      <c r="D913" s="1282"/>
      <c r="E913" s="351"/>
      <c r="F913" s="1282"/>
      <c r="G913" s="1282"/>
      <c r="H913" s="1282"/>
      <c r="I913" s="1282"/>
      <c r="J913" s="1282" t="s">
        <v>903</v>
      </c>
      <c r="K913" s="1282"/>
      <c r="L913" s="1282"/>
      <c r="AC913" s="1342"/>
      <c r="AH913" s="274"/>
    </row>
    <row r="914">
      <c r="B914" s="1282"/>
      <c r="C914" s="1282"/>
      <c r="D914" s="1282"/>
      <c r="E914" s="351"/>
      <c r="F914" s="1282"/>
      <c r="G914" s="1282"/>
      <c r="H914" s="1282"/>
      <c r="I914" s="1282"/>
      <c r="J914" s="1282" t="s">
        <v>903</v>
      </c>
      <c r="K914" s="1282"/>
      <c r="L914" s="1282"/>
      <c r="AC914" s="1342"/>
      <c r="AH914" s="274"/>
    </row>
    <row r="915">
      <c r="B915" s="1282"/>
      <c r="C915" s="1282"/>
      <c r="D915" s="1282"/>
      <c r="E915" s="351"/>
      <c r="F915" s="1282"/>
      <c r="G915" s="1282"/>
      <c r="H915" s="1282"/>
      <c r="I915" s="1282"/>
      <c r="J915" s="1282" t="s">
        <v>903</v>
      </c>
      <c r="K915" s="1282"/>
      <c r="L915" s="1282"/>
      <c r="AC915" s="1342"/>
      <c r="AH915" s="274"/>
    </row>
    <row r="916">
      <c r="B916" s="1282"/>
      <c r="C916" s="1282"/>
      <c r="D916" s="1282"/>
      <c r="E916" s="351"/>
      <c r="F916" s="1282"/>
      <c r="G916" s="1282"/>
      <c r="H916" s="1282"/>
      <c r="I916" s="1282"/>
      <c r="J916" s="1282" t="s">
        <v>903</v>
      </c>
      <c r="K916" s="1282"/>
      <c r="L916" s="1282"/>
      <c r="AC916" s="1342"/>
      <c r="AH916" s="274"/>
    </row>
    <row r="917">
      <c r="B917" s="1282"/>
      <c r="C917" s="1282"/>
      <c r="D917" s="1282"/>
      <c r="E917" s="351"/>
      <c r="F917" s="1282"/>
      <c r="G917" s="1282"/>
      <c r="H917" s="1282"/>
      <c r="I917" s="1282"/>
      <c r="J917" s="1282" t="s">
        <v>903</v>
      </c>
      <c r="K917" s="1282"/>
      <c r="L917" s="1282"/>
      <c r="AC917" s="1342"/>
      <c r="AH917" s="274"/>
    </row>
    <row r="918">
      <c r="B918" s="1282"/>
      <c r="C918" s="1282"/>
      <c r="D918" s="1282"/>
      <c r="E918" s="351"/>
      <c r="F918" s="1282"/>
      <c r="G918" s="1282"/>
      <c r="H918" s="1282"/>
      <c r="I918" s="1282"/>
      <c r="J918" s="1282" t="s">
        <v>903</v>
      </c>
      <c r="K918" s="1282"/>
      <c r="L918" s="1282"/>
      <c r="AC918" s="1342"/>
      <c r="AH918" s="274"/>
    </row>
    <row r="919">
      <c r="B919" s="1282"/>
      <c r="C919" s="1282"/>
      <c r="D919" s="1282"/>
      <c r="E919" s="351"/>
      <c r="F919" s="1282"/>
      <c r="G919" s="1282"/>
      <c r="H919" s="1282"/>
      <c r="I919" s="1282"/>
      <c r="J919" s="1282" t="s">
        <v>903</v>
      </c>
      <c r="K919" s="1282"/>
      <c r="L919" s="1282"/>
      <c r="AC919" s="1342"/>
      <c r="AH919" s="274"/>
    </row>
    <row r="920">
      <c r="B920" s="1282"/>
      <c r="C920" s="1282"/>
      <c r="D920" s="1282"/>
      <c r="E920" s="351"/>
      <c r="F920" s="1282"/>
      <c r="G920" s="1282"/>
      <c r="H920" s="1282"/>
      <c r="I920" s="1282"/>
      <c r="J920" s="1282" t="s">
        <v>903</v>
      </c>
      <c r="K920" s="1282"/>
      <c r="L920" s="1282"/>
      <c r="AC920" s="1342"/>
      <c r="AH920" s="274"/>
    </row>
    <row r="921">
      <c r="B921" s="1282"/>
      <c r="C921" s="1282"/>
      <c r="D921" s="1282"/>
      <c r="E921" s="351"/>
      <c r="F921" s="1282"/>
      <c r="G921" s="1282"/>
      <c r="H921" s="1282"/>
      <c r="I921" s="1282"/>
      <c r="J921" s="1282" t="s">
        <v>903</v>
      </c>
      <c r="K921" s="1282"/>
      <c r="L921" s="1282"/>
      <c r="AC921" s="1342"/>
      <c r="AH921" s="274"/>
    </row>
    <row r="922">
      <c r="B922" s="1282"/>
      <c r="C922" s="1282"/>
      <c r="D922" s="1282"/>
      <c r="E922" s="351"/>
      <c r="F922" s="1282"/>
      <c r="G922" s="1282"/>
      <c r="H922" s="1282"/>
      <c r="I922" s="1282"/>
      <c r="J922" s="1282" t="s">
        <v>903</v>
      </c>
      <c r="K922" s="1282"/>
      <c r="L922" s="1282"/>
      <c r="AC922" s="1342"/>
      <c r="AH922" s="274"/>
    </row>
    <row r="923">
      <c r="B923" s="1282"/>
      <c r="C923" s="1282"/>
      <c r="D923" s="1282"/>
      <c r="E923" s="351"/>
      <c r="F923" s="1282"/>
      <c r="G923" s="1282"/>
      <c r="H923" s="1282"/>
      <c r="I923" s="1282"/>
      <c r="J923" s="1282" t="s">
        <v>903</v>
      </c>
      <c r="K923" s="1282"/>
      <c r="L923" s="1282"/>
      <c r="AC923" s="1342"/>
      <c r="AH923" s="274"/>
    </row>
    <row r="924">
      <c r="B924" s="1282"/>
      <c r="C924" s="1282"/>
      <c r="D924" s="1282"/>
      <c r="E924" s="351"/>
      <c r="F924" s="1282"/>
      <c r="G924" s="1282"/>
      <c r="H924" s="1282"/>
      <c r="I924" s="1282"/>
      <c r="J924" s="1282" t="s">
        <v>903</v>
      </c>
      <c r="K924" s="1282"/>
      <c r="L924" s="1282"/>
      <c r="AC924" s="1342"/>
      <c r="AH924" s="274"/>
    </row>
    <row r="925">
      <c r="B925" s="1282"/>
      <c r="C925" s="1282"/>
      <c r="D925" s="1282"/>
      <c r="E925" s="351"/>
      <c r="F925" s="1282"/>
      <c r="G925" s="1282"/>
      <c r="H925" s="1282"/>
      <c r="I925" s="1282"/>
      <c r="J925" s="1282" t="s">
        <v>903</v>
      </c>
      <c r="K925" s="1282"/>
      <c r="L925" s="1282"/>
      <c r="AC925" s="1342"/>
      <c r="AH925" s="274"/>
    </row>
    <row r="926">
      <c r="B926" s="1282"/>
      <c r="C926" s="1282"/>
      <c r="D926" s="1282"/>
      <c r="E926" s="351"/>
      <c r="F926" s="1282"/>
      <c r="G926" s="1282"/>
      <c r="H926" s="1282"/>
      <c r="I926" s="1282"/>
      <c r="J926" s="1282" t="s">
        <v>903</v>
      </c>
      <c r="K926" s="1282"/>
      <c r="L926" s="1282"/>
      <c r="AC926" s="1342"/>
      <c r="AH926" s="274"/>
    </row>
    <row r="927">
      <c r="B927" s="1282"/>
      <c r="C927" s="1282"/>
      <c r="D927" s="1282"/>
      <c r="E927" s="351"/>
      <c r="F927" s="1282"/>
      <c r="G927" s="1282"/>
      <c r="H927" s="1282"/>
      <c r="I927" s="1282"/>
      <c r="J927" s="1282" t="s">
        <v>903</v>
      </c>
      <c r="K927" s="1282"/>
      <c r="L927" s="1282"/>
      <c r="AC927" s="1342"/>
      <c r="AH927" s="274"/>
    </row>
    <row r="928">
      <c r="B928" s="1282"/>
      <c r="C928" s="1282"/>
      <c r="D928" s="1282"/>
      <c r="E928" s="351"/>
      <c r="F928" s="1282"/>
      <c r="G928" s="1282"/>
      <c r="H928" s="1282"/>
      <c r="I928" s="1282"/>
      <c r="J928" s="1282" t="s">
        <v>903</v>
      </c>
      <c r="K928" s="1282"/>
      <c r="L928" s="1282"/>
      <c r="AC928" s="1342"/>
      <c r="AH928" s="274"/>
    </row>
    <row r="929">
      <c r="B929" s="1282"/>
      <c r="C929" s="1282"/>
      <c r="D929" s="1282"/>
      <c r="E929" s="351"/>
      <c r="F929" s="1282"/>
      <c r="G929" s="1282"/>
      <c r="H929" s="1282"/>
      <c r="I929" s="1282"/>
      <c r="J929" s="1282" t="s">
        <v>903</v>
      </c>
      <c r="K929" s="1282"/>
      <c r="L929" s="1282"/>
      <c r="AC929" s="1342"/>
      <c r="AH929" s="274"/>
    </row>
    <row r="930">
      <c r="B930" s="1282"/>
      <c r="C930" s="1282"/>
      <c r="D930" s="1282"/>
      <c r="E930" s="351"/>
      <c r="F930" s="1282"/>
      <c r="G930" s="1282"/>
      <c r="H930" s="1282"/>
      <c r="I930" s="1282"/>
      <c r="J930" s="1282" t="s">
        <v>903</v>
      </c>
      <c r="K930" s="1282"/>
      <c r="L930" s="1282"/>
      <c r="AC930" s="1342"/>
      <c r="AH930" s="274"/>
    </row>
    <row r="931">
      <c r="B931" s="1282"/>
      <c r="C931" s="1282"/>
      <c r="D931" s="1282"/>
      <c r="E931" s="351"/>
      <c r="F931" s="1282"/>
      <c r="G931" s="1282"/>
      <c r="H931" s="1282"/>
      <c r="I931" s="1282"/>
      <c r="J931" s="1282" t="s">
        <v>903</v>
      </c>
      <c r="K931" s="1282"/>
      <c r="L931" s="1282"/>
      <c r="AC931" s="1342"/>
      <c r="AH931" s="274"/>
    </row>
    <row r="932">
      <c r="B932" s="1282"/>
      <c r="C932" s="1282"/>
      <c r="D932" s="1282"/>
      <c r="E932" s="351"/>
      <c r="F932" s="1282"/>
      <c r="G932" s="1282"/>
      <c r="H932" s="1282"/>
      <c r="I932" s="1282"/>
      <c r="J932" s="1282" t="s">
        <v>903</v>
      </c>
      <c r="K932" s="1282"/>
      <c r="L932" s="1282"/>
      <c r="AC932" s="1342"/>
      <c r="AH932" s="274"/>
    </row>
    <row r="933">
      <c r="B933" s="1282"/>
      <c r="C933" s="1282"/>
      <c r="D933" s="1282"/>
      <c r="E933" s="351"/>
      <c r="F933" s="1282"/>
      <c r="G933" s="1282"/>
      <c r="H933" s="1282"/>
      <c r="I933" s="1282"/>
      <c r="J933" s="1282" t="s">
        <v>903</v>
      </c>
      <c r="K933" s="1282"/>
      <c r="L933" s="1282"/>
      <c r="AC933" s="1342"/>
      <c r="AH933" s="274"/>
    </row>
    <row r="934">
      <c r="B934" s="1282"/>
      <c r="C934" s="1282"/>
      <c r="D934" s="1282"/>
      <c r="E934" s="351"/>
      <c r="F934" s="1282"/>
      <c r="G934" s="1282"/>
      <c r="H934" s="1282"/>
      <c r="I934" s="1282"/>
      <c r="J934" s="1282" t="s">
        <v>903</v>
      </c>
      <c r="K934" s="1282"/>
      <c r="L934" s="1282"/>
      <c r="AC934" s="1342"/>
      <c r="AH934" s="274"/>
    </row>
    <row r="935">
      <c r="B935" s="1282"/>
      <c r="C935" s="1282"/>
      <c r="D935" s="1282"/>
      <c r="E935" s="351"/>
      <c r="F935" s="1282"/>
      <c r="G935" s="1282"/>
      <c r="H935" s="1282"/>
      <c r="I935" s="1282"/>
      <c r="J935" s="1282" t="s">
        <v>903</v>
      </c>
      <c r="K935" s="1282"/>
      <c r="L935" s="1282"/>
      <c r="AC935" s="1342"/>
      <c r="AH935" s="274"/>
    </row>
    <row r="936">
      <c r="B936" s="1282"/>
      <c r="C936" s="1282"/>
      <c r="D936" s="1282"/>
      <c r="E936" s="351"/>
      <c r="F936" s="1282"/>
      <c r="G936" s="1282"/>
      <c r="H936" s="1282"/>
      <c r="I936" s="1282"/>
      <c r="J936" s="1282" t="s">
        <v>903</v>
      </c>
      <c r="K936" s="1282"/>
      <c r="L936" s="1282"/>
      <c r="AC936" s="1342"/>
      <c r="AH936" s="274"/>
    </row>
    <row r="937">
      <c r="B937" s="1282"/>
      <c r="C937" s="1282"/>
      <c r="D937" s="1282"/>
      <c r="E937" s="351"/>
      <c r="F937" s="1282"/>
      <c r="G937" s="1282"/>
      <c r="H937" s="1282"/>
      <c r="I937" s="1282"/>
      <c r="J937" s="1282" t="s">
        <v>903</v>
      </c>
      <c r="K937" s="1282"/>
      <c r="L937" s="1282"/>
      <c r="AC937" s="1342"/>
      <c r="AH937" s="274"/>
    </row>
    <row r="938">
      <c r="B938" s="1282"/>
      <c r="C938" s="1282"/>
      <c r="D938" s="1282"/>
      <c r="E938" s="351"/>
      <c r="F938" s="1282"/>
      <c r="G938" s="1282"/>
      <c r="H938" s="1282"/>
      <c r="I938" s="1282"/>
      <c r="J938" s="1282" t="s">
        <v>903</v>
      </c>
      <c r="K938" s="1282"/>
      <c r="L938" s="1282"/>
      <c r="AC938" s="1342"/>
      <c r="AH938" s="274"/>
    </row>
    <row r="939">
      <c r="B939" s="1282"/>
      <c r="C939" s="1282"/>
      <c r="D939" s="1282"/>
      <c r="E939" s="351"/>
      <c r="F939" s="1282"/>
      <c r="G939" s="1282"/>
      <c r="H939" s="1282"/>
      <c r="I939" s="1282"/>
      <c r="J939" s="1282" t="s">
        <v>903</v>
      </c>
      <c r="K939" s="1282"/>
      <c r="L939" s="1282"/>
      <c r="AC939" s="1342"/>
      <c r="AH939" s="274"/>
    </row>
    <row r="940">
      <c r="B940" s="1282"/>
      <c r="C940" s="1282"/>
      <c r="D940" s="1282"/>
      <c r="E940" s="351"/>
      <c r="F940" s="1282"/>
      <c r="G940" s="1282"/>
      <c r="H940" s="1282"/>
      <c r="I940" s="1282"/>
      <c r="J940" s="1282" t="s">
        <v>903</v>
      </c>
      <c r="K940" s="1282"/>
      <c r="L940" s="1282"/>
      <c r="AC940" s="1342"/>
      <c r="AH940" s="274"/>
    </row>
    <row r="941">
      <c r="B941" s="1282"/>
      <c r="C941" s="1282"/>
      <c r="D941" s="1282"/>
      <c r="E941" s="351"/>
      <c r="F941" s="1282"/>
      <c r="G941" s="1282"/>
      <c r="H941" s="1282"/>
      <c r="I941" s="1282"/>
      <c r="J941" s="1282" t="s">
        <v>903</v>
      </c>
      <c r="K941" s="1282"/>
      <c r="L941" s="1282"/>
      <c r="AC941" s="1342"/>
      <c r="AH941" s="274"/>
    </row>
    <row r="942">
      <c r="B942" s="1282"/>
      <c r="C942" s="1282"/>
      <c r="D942" s="1282"/>
      <c r="E942" s="351"/>
      <c r="F942" s="1282"/>
      <c r="G942" s="1282"/>
      <c r="H942" s="1282"/>
      <c r="I942" s="1282"/>
      <c r="J942" s="1282" t="s">
        <v>903</v>
      </c>
      <c r="K942" s="1282"/>
      <c r="L942" s="1282"/>
      <c r="AC942" s="1342"/>
      <c r="AH942" s="274"/>
    </row>
    <row r="943">
      <c r="B943" s="1282"/>
      <c r="C943" s="1282"/>
      <c r="D943" s="1282"/>
      <c r="E943" s="351"/>
      <c r="F943" s="1282"/>
      <c r="G943" s="1282"/>
      <c r="H943" s="1282"/>
      <c r="I943" s="1282"/>
      <c r="J943" s="1282" t="s">
        <v>903</v>
      </c>
      <c r="K943" s="1282"/>
      <c r="L943" s="1282"/>
      <c r="AC943" s="1342"/>
      <c r="AH943" s="274"/>
    </row>
    <row r="944">
      <c r="B944" s="1282"/>
      <c r="C944" s="1282"/>
      <c r="D944" s="1282"/>
      <c r="E944" s="351"/>
      <c r="F944" s="1282"/>
      <c r="G944" s="1282"/>
      <c r="H944" s="1282"/>
      <c r="I944" s="1282"/>
      <c r="J944" s="1282" t="s">
        <v>903</v>
      </c>
      <c r="K944" s="1282"/>
      <c r="L944" s="1282"/>
      <c r="AC944" s="1342"/>
      <c r="AH944" s="274"/>
    </row>
    <row r="945">
      <c r="B945" s="1282"/>
      <c r="C945" s="1282"/>
      <c r="D945" s="1282"/>
      <c r="E945" s="351"/>
      <c r="F945" s="1282"/>
      <c r="G945" s="1282"/>
      <c r="H945" s="1282"/>
      <c r="I945" s="1282"/>
      <c r="J945" s="1282" t="s">
        <v>903</v>
      </c>
      <c r="K945" s="1282"/>
      <c r="L945" s="1282"/>
      <c r="AC945" s="1342"/>
      <c r="AH945" s="274"/>
    </row>
    <row r="946">
      <c r="B946" s="1282"/>
      <c r="C946" s="1282"/>
      <c r="D946" s="1282"/>
      <c r="E946" s="351"/>
      <c r="F946" s="1282"/>
      <c r="G946" s="1282"/>
      <c r="H946" s="1282"/>
      <c r="I946" s="1282"/>
      <c r="J946" s="1282" t="s">
        <v>903</v>
      </c>
      <c r="K946" s="1282"/>
      <c r="L946" s="1282"/>
      <c r="AC946" s="1342"/>
      <c r="AH946" s="274"/>
    </row>
    <row r="947">
      <c r="B947" s="1282"/>
      <c r="C947" s="1282"/>
      <c r="D947" s="1282"/>
      <c r="E947" s="351"/>
      <c r="F947" s="1282"/>
      <c r="G947" s="1282"/>
      <c r="H947" s="1282"/>
      <c r="I947" s="1282"/>
      <c r="J947" s="1282" t="s">
        <v>903</v>
      </c>
      <c r="K947" s="1282"/>
      <c r="L947" s="1282"/>
      <c r="AC947" s="1342"/>
      <c r="AH947" s="274"/>
    </row>
    <row r="948">
      <c r="B948" s="1282"/>
      <c r="C948" s="1282"/>
      <c r="D948" s="1282"/>
      <c r="E948" s="351"/>
      <c r="F948" s="1282"/>
      <c r="G948" s="1282"/>
      <c r="H948" s="1282"/>
      <c r="I948" s="1282"/>
      <c r="J948" s="1282" t="s">
        <v>903</v>
      </c>
      <c r="K948" s="1282"/>
      <c r="L948" s="1282"/>
      <c r="AC948" s="1342"/>
      <c r="AH948" s="274"/>
    </row>
    <row r="949">
      <c r="B949" s="1282"/>
      <c r="C949" s="1282"/>
      <c r="D949" s="1282"/>
      <c r="E949" s="351"/>
      <c r="F949" s="1282"/>
      <c r="G949" s="1282"/>
      <c r="H949" s="1282"/>
      <c r="I949" s="1282"/>
      <c r="J949" s="1282" t="s">
        <v>903</v>
      </c>
      <c r="K949" s="1282"/>
      <c r="L949" s="1282"/>
      <c r="AC949" s="1342"/>
      <c r="AH949" s="274"/>
    </row>
    <row r="950">
      <c r="B950" s="1282"/>
      <c r="C950" s="1282"/>
      <c r="D950" s="1282"/>
      <c r="E950" s="351"/>
      <c r="F950" s="1282"/>
      <c r="G950" s="1282"/>
      <c r="H950" s="1282"/>
      <c r="I950" s="1282"/>
      <c r="J950" s="1282" t="s">
        <v>903</v>
      </c>
      <c r="K950" s="1282"/>
      <c r="L950" s="1282"/>
      <c r="AC950" s="1342"/>
      <c r="AH950" s="274"/>
    </row>
    <row r="951">
      <c r="B951" s="1282"/>
      <c r="C951" s="1282"/>
      <c r="D951" s="1282"/>
      <c r="E951" s="351"/>
      <c r="F951" s="1282"/>
      <c r="G951" s="1282"/>
      <c r="H951" s="1282"/>
      <c r="I951" s="1282"/>
      <c r="J951" s="1282" t="s">
        <v>903</v>
      </c>
      <c r="K951" s="1282"/>
      <c r="L951" s="1282"/>
      <c r="AC951" s="1342"/>
      <c r="AH951" s="274"/>
    </row>
    <row r="952">
      <c r="B952" s="1282"/>
      <c r="C952" s="1282"/>
      <c r="D952" s="1282"/>
      <c r="E952" s="351"/>
      <c r="F952" s="1282"/>
      <c r="G952" s="1282"/>
      <c r="H952" s="1282"/>
      <c r="I952" s="1282"/>
      <c r="J952" s="1282" t="s">
        <v>903</v>
      </c>
      <c r="K952" s="1282"/>
      <c r="L952" s="1282"/>
      <c r="AC952" s="1342"/>
      <c r="AH952" s="274"/>
    </row>
    <row r="953">
      <c r="B953" s="1282"/>
      <c r="C953" s="1282"/>
      <c r="D953" s="1282"/>
      <c r="E953" s="351"/>
      <c r="F953" s="1282"/>
      <c r="G953" s="1282"/>
      <c r="H953" s="1282"/>
      <c r="I953" s="1282"/>
      <c r="J953" s="1282" t="s">
        <v>903</v>
      </c>
      <c r="K953" s="1282"/>
      <c r="L953" s="1282"/>
      <c r="AC953" s="1342"/>
      <c r="AH953" s="274"/>
    </row>
    <row r="954">
      <c r="B954" s="1282"/>
      <c r="C954" s="1282"/>
      <c r="D954" s="1282"/>
      <c r="E954" s="351"/>
      <c r="F954" s="1282"/>
      <c r="G954" s="1282"/>
      <c r="H954" s="1282"/>
      <c r="I954" s="1282"/>
      <c r="J954" s="1282" t="s">
        <v>903</v>
      </c>
      <c r="K954" s="1282"/>
      <c r="L954" s="1282"/>
      <c r="AC954" s="1342"/>
      <c r="AH954" s="274"/>
    </row>
    <row r="955">
      <c r="B955" s="1282"/>
      <c r="C955" s="1282"/>
      <c r="D955" s="1282"/>
      <c r="E955" s="351"/>
      <c r="F955" s="1282"/>
      <c r="G955" s="1282"/>
      <c r="H955" s="1282"/>
      <c r="I955" s="1282"/>
      <c r="J955" s="1282" t="s">
        <v>903</v>
      </c>
      <c r="K955" s="1282"/>
      <c r="L955" s="1282"/>
      <c r="AC955" s="1342"/>
      <c r="AH955" s="274"/>
    </row>
    <row r="956">
      <c r="B956" s="1282"/>
      <c r="C956" s="1282"/>
      <c r="D956" s="1282"/>
      <c r="E956" s="351"/>
      <c r="F956" s="1282"/>
      <c r="G956" s="1282"/>
      <c r="H956" s="1282"/>
      <c r="I956" s="1282"/>
      <c r="J956" s="1282" t="s">
        <v>903</v>
      </c>
      <c r="K956" s="1282"/>
      <c r="L956" s="1282"/>
      <c r="AC956" s="1342"/>
      <c r="AH956" s="274"/>
    </row>
    <row r="957">
      <c r="B957" s="1282"/>
      <c r="C957" s="1282"/>
      <c r="D957" s="1282"/>
      <c r="E957" s="351"/>
      <c r="F957" s="1282"/>
      <c r="G957" s="1282"/>
      <c r="H957" s="1282"/>
      <c r="I957" s="1282"/>
      <c r="J957" s="1282" t="s">
        <v>903</v>
      </c>
      <c r="K957" s="1282"/>
      <c r="L957" s="1282"/>
      <c r="AC957" s="1342"/>
      <c r="AH957" s="274"/>
    </row>
    <row r="958">
      <c r="B958" s="1282"/>
      <c r="C958" s="1282"/>
      <c r="D958" s="1282"/>
      <c r="E958" s="351"/>
      <c r="F958" s="1282"/>
      <c r="G958" s="1282"/>
      <c r="H958" s="1282"/>
      <c r="I958" s="1282"/>
      <c r="J958" s="1282" t="s">
        <v>903</v>
      </c>
      <c r="K958" s="1282"/>
      <c r="L958" s="1282"/>
      <c r="AC958" s="1342"/>
      <c r="AH958" s="274"/>
    </row>
    <row r="959">
      <c r="B959" s="1282"/>
      <c r="C959" s="1282"/>
      <c r="D959" s="1282"/>
      <c r="E959" s="351"/>
      <c r="F959" s="1282"/>
      <c r="G959" s="1282"/>
      <c r="H959" s="1282"/>
      <c r="I959" s="1282"/>
      <c r="J959" s="1282" t="s">
        <v>903</v>
      </c>
      <c r="K959" s="1282"/>
      <c r="L959" s="1282"/>
      <c r="AC959" s="1342"/>
      <c r="AH959" s="274"/>
    </row>
    <row r="960">
      <c r="B960" s="1282"/>
      <c r="C960" s="1282"/>
      <c r="D960" s="1282"/>
      <c r="E960" s="351"/>
      <c r="F960" s="1282"/>
      <c r="G960" s="1282"/>
      <c r="H960" s="1282"/>
      <c r="I960" s="1282"/>
      <c r="J960" s="1282" t="s">
        <v>903</v>
      </c>
      <c r="K960" s="1282"/>
      <c r="L960" s="1282"/>
      <c r="AC960" s="1342"/>
      <c r="AH960" s="274"/>
    </row>
    <row r="961">
      <c r="B961" s="1282"/>
      <c r="C961" s="1282"/>
      <c r="D961" s="1282"/>
      <c r="E961" s="351"/>
      <c r="F961" s="1282"/>
      <c r="G961" s="1282"/>
      <c r="H961" s="1282"/>
      <c r="I961" s="1282"/>
      <c r="J961" s="1282" t="s">
        <v>903</v>
      </c>
      <c r="K961" s="1282"/>
      <c r="L961" s="1282"/>
      <c r="AC961" s="1342"/>
      <c r="AH961" s="274"/>
    </row>
    <row r="962">
      <c r="B962" s="1282"/>
      <c r="C962" s="1282"/>
      <c r="D962" s="1282"/>
      <c r="E962" s="351"/>
      <c r="F962" s="1282"/>
      <c r="G962" s="1282"/>
      <c r="H962" s="1282"/>
      <c r="I962" s="1282"/>
      <c r="J962" s="1282" t="s">
        <v>903</v>
      </c>
      <c r="K962" s="1282"/>
      <c r="L962" s="1282"/>
      <c r="AC962" s="1342"/>
      <c r="AH962" s="274"/>
    </row>
    <row r="963">
      <c r="B963" s="1282"/>
      <c r="C963" s="1282"/>
      <c r="D963" s="1282"/>
      <c r="E963" s="351"/>
      <c r="F963" s="1282"/>
      <c r="G963" s="1282"/>
      <c r="H963" s="1282"/>
      <c r="I963" s="1282"/>
      <c r="J963" s="1282" t="s">
        <v>903</v>
      </c>
      <c r="K963" s="1282"/>
      <c r="L963" s="1282"/>
      <c r="AC963" s="1342"/>
      <c r="AH963" s="274"/>
    </row>
    <row r="964">
      <c r="B964" s="1282"/>
      <c r="C964" s="1282"/>
      <c r="D964" s="1282"/>
      <c r="E964" s="351"/>
      <c r="F964" s="1282"/>
      <c r="G964" s="1282"/>
      <c r="H964" s="1282"/>
      <c r="I964" s="1282"/>
      <c r="J964" s="1282" t="s">
        <v>903</v>
      </c>
      <c r="K964" s="1282"/>
      <c r="L964" s="1282"/>
      <c r="AC964" s="1342"/>
      <c r="AH964" s="274"/>
    </row>
    <row r="965">
      <c r="B965" s="1282"/>
      <c r="C965" s="1282"/>
      <c r="D965" s="1282"/>
      <c r="E965" s="351"/>
      <c r="F965" s="1282"/>
      <c r="G965" s="1282"/>
      <c r="H965" s="1282"/>
      <c r="I965" s="1282"/>
      <c r="J965" s="1282" t="s">
        <v>903</v>
      </c>
      <c r="K965" s="1282"/>
      <c r="L965" s="1282"/>
      <c r="AC965" s="1342"/>
      <c r="AH965" s="274"/>
    </row>
    <row r="966">
      <c r="B966" s="1282"/>
      <c r="C966" s="1282"/>
      <c r="D966" s="1282"/>
      <c r="E966" s="351"/>
      <c r="F966" s="1282"/>
      <c r="G966" s="1282"/>
      <c r="H966" s="1282"/>
      <c r="I966" s="1282"/>
      <c r="J966" s="1282" t="s">
        <v>903</v>
      </c>
      <c r="K966" s="1282"/>
      <c r="L966" s="1282"/>
      <c r="AC966" s="1342"/>
      <c r="AH966" s="274"/>
    </row>
    <row r="967">
      <c r="B967" s="1282"/>
      <c r="C967" s="1282"/>
      <c r="D967" s="1282"/>
      <c r="E967" s="351"/>
      <c r="F967" s="1282"/>
      <c r="G967" s="1282"/>
      <c r="H967" s="1282"/>
      <c r="I967" s="1282"/>
      <c r="J967" s="1282" t="s">
        <v>903</v>
      </c>
      <c r="K967" s="1282"/>
      <c r="L967" s="1282"/>
      <c r="AC967" s="1342"/>
      <c r="AH967" s="274"/>
    </row>
    <row r="968">
      <c r="B968" s="1282"/>
      <c r="C968" s="1282"/>
      <c r="D968" s="1282"/>
      <c r="E968" s="351"/>
      <c r="F968" s="1282"/>
      <c r="G968" s="1282"/>
      <c r="H968" s="1282"/>
      <c r="I968" s="1282"/>
      <c r="J968" s="1282" t="s">
        <v>903</v>
      </c>
      <c r="K968" s="1282"/>
      <c r="L968" s="1282"/>
      <c r="AC968" s="1342"/>
      <c r="AH968" s="274"/>
    </row>
    <row r="969">
      <c r="B969" s="1282"/>
      <c r="C969" s="1282"/>
      <c r="D969" s="1282"/>
      <c r="E969" s="351"/>
      <c r="F969" s="1282"/>
      <c r="G969" s="1282"/>
      <c r="H969" s="1282"/>
      <c r="I969" s="1282"/>
      <c r="J969" s="1282" t="s">
        <v>903</v>
      </c>
      <c r="K969" s="1282"/>
      <c r="L969" s="1282"/>
      <c r="AC969" s="1342"/>
      <c r="AH969" s="274"/>
    </row>
    <row r="970">
      <c r="B970" s="1282"/>
      <c r="C970" s="1282"/>
      <c r="D970" s="1282"/>
      <c r="E970" s="351"/>
      <c r="F970" s="1282"/>
      <c r="G970" s="1282"/>
      <c r="H970" s="1282"/>
      <c r="I970" s="1282"/>
      <c r="J970" s="1282" t="s">
        <v>903</v>
      </c>
      <c r="K970" s="1282"/>
      <c r="L970" s="1282"/>
      <c r="AC970" s="1342"/>
      <c r="AH970" s="274"/>
    </row>
    <row r="971">
      <c r="B971" s="1282"/>
      <c r="C971" s="1282"/>
      <c r="D971" s="1282"/>
      <c r="E971" s="351"/>
      <c r="F971" s="1282"/>
      <c r="G971" s="1282"/>
      <c r="H971" s="1282"/>
      <c r="I971" s="1282"/>
      <c r="J971" s="1282" t="s">
        <v>903</v>
      </c>
      <c r="K971" s="1282"/>
      <c r="L971" s="1282"/>
      <c r="AC971" s="1342"/>
      <c r="AH971" s="274"/>
    </row>
    <row r="972">
      <c r="B972" s="1282"/>
      <c r="C972" s="1282"/>
      <c r="D972" s="1282"/>
      <c r="E972" s="351"/>
      <c r="F972" s="1282"/>
      <c r="G972" s="1282"/>
      <c r="H972" s="1282"/>
      <c r="I972" s="1282"/>
      <c r="J972" s="1282" t="s">
        <v>903</v>
      </c>
      <c r="K972" s="1282"/>
      <c r="L972" s="1282"/>
      <c r="AC972" s="1342"/>
      <c r="AH972" s="274"/>
    </row>
    <row r="973">
      <c r="B973" s="1282"/>
      <c r="C973" s="1282"/>
      <c r="D973" s="1282"/>
      <c r="E973" s="351"/>
      <c r="F973" s="1282"/>
      <c r="G973" s="1282"/>
      <c r="H973" s="1282"/>
      <c r="I973" s="1282"/>
      <c r="J973" s="1282" t="s">
        <v>903</v>
      </c>
      <c r="K973" s="1282"/>
      <c r="L973" s="1282"/>
      <c r="AC973" s="1342"/>
      <c r="AH973" s="274"/>
    </row>
    <row r="974">
      <c r="B974" s="1282"/>
      <c r="C974" s="1282"/>
      <c r="D974" s="1282"/>
      <c r="E974" s="351"/>
      <c r="F974" s="1282"/>
      <c r="G974" s="1282"/>
      <c r="H974" s="1282"/>
      <c r="I974" s="1282"/>
      <c r="J974" s="1282" t="s">
        <v>903</v>
      </c>
      <c r="K974" s="1282"/>
      <c r="L974" s="1282"/>
      <c r="AC974" s="1342"/>
      <c r="AH974" s="274"/>
    </row>
    <row r="975">
      <c r="B975" s="1282"/>
      <c r="C975" s="1282"/>
      <c r="D975" s="1282"/>
      <c r="E975" s="351"/>
      <c r="F975" s="1282"/>
      <c r="G975" s="1282"/>
      <c r="H975" s="1282"/>
      <c r="I975" s="1282"/>
      <c r="J975" s="1282" t="s">
        <v>903</v>
      </c>
      <c r="K975" s="1282"/>
      <c r="L975" s="1282"/>
      <c r="AC975" s="1342"/>
      <c r="AH975" s="274"/>
    </row>
    <row r="976">
      <c r="B976" s="1282"/>
      <c r="C976" s="1282"/>
      <c r="D976" s="1282"/>
      <c r="E976" s="351"/>
      <c r="F976" s="1282"/>
      <c r="G976" s="1282"/>
      <c r="H976" s="1282"/>
      <c r="I976" s="1282"/>
      <c r="J976" s="1282" t="s">
        <v>903</v>
      </c>
      <c r="K976" s="1282"/>
      <c r="L976" s="1282"/>
      <c r="AC976" s="1342"/>
      <c r="AH976" s="274"/>
    </row>
    <row r="977">
      <c r="B977" s="1282"/>
      <c r="C977" s="1282"/>
      <c r="D977" s="1282"/>
      <c r="E977" s="351"/>
      <c r="F977" s="1282"/>
      <c r="G977" s="1282"/>
      <c r="H977" s="1282"/>
      <c r="I977" s="1282"/>
      <c r="J977" s="1282" t="s">
        <v>903</v>
      </c>
      <c r="K977" s="1282"/>
      <c r="L977" s="1282"/>
      <c r="AC977" s="1342"/>
      <c r="AH977" s="274"/>
    </row>
    <row r="978">
      <c r="B978" s="1282"/>
      <c r="C978" s="1282"/>
      <c r="D978" s="1282"/>
      <c r="E978" s="351"/>
      <c r="F978" s="1282"/>
      <c r="G978" s="1282"/>
      <c r="H978" s="1282"/>
      <c r="I978" s="1282"/>
      <c r="J978" s="1282" t="s">
        <v>903</v>
      </c>
      <c r="K978" s="1282"/>
      <c r="L978" s="1282"/>
      <c r="AC978" s="1342"/>
      <c r="AH978" s="274"/>
    </row>
    <row r="979">
      <c r="B979" s="1282"/>
      <c r="C979" s="1282"/>
      <c r="D979" s="1282"/>
      <c r="E979" s="351"/>
      <c r="F979" s="1282"/>
      <c r="G979" s="1282"/>
      <c r="H979" s="1282"/>
      <c r="I979" s="1282"/>
      <c r="J979" s="1282" t="s">
        <v>903</v>
      </c>
      <c r="K979" s="1282"/>
      <c r="L979" s="1282"/>
      <c r="AC979" s="1342"/>
      <c r="AH979" s="274"/>
    </row>
    <row r="980">
      <c r="B980" s="1282"/>
      <c r="C980" s="1282"/>
      <c r="D980" s="1282"/>
      <c r="E980" s="351"/>
      <c r="F980" s="1282"/>
      <c r="G980" s="1282"/>
      <c r="H980" s="1282"/>
      <c r="I980" s="1282"/>
      <c r="J980" s="1282" t="s">
        <v>903</v>
      </c>
      <c r="K980" s="1282"/>
      <c r="L980" s="1282"/>
      <c r="AC980" s="1342"/>
      <c r="AH980" s="274"/>
    </row>
    <row r="981">
      <c r="B981" s="1282"/>
      <c r="C981" s="1282"/>
      <c r="D981" s="1282"/>
      <c r="E981" s="351"/>
      <c r="F981" s="1282"/>
      <c r="G981" s="1282"/>
      <c r="H981" s="1282"/>
      <c r="I981" s="1282"/>
      <c r="J981" s="1282" t="s">
        <v>903</v>
      </c>
      <c r="K981" s="1282"/>
      <c r="L981" s="1282"/>
      <c r="AC981" s="1342"/>
      <c r="AH981" s="274"/>
    </row>
    <row r="982">
      <c r="B982" s="1282"/>
      <c r="C982" s="1282"/>
      <c r="D982" s="1282"/>
      <c r="E982" s="351"/>
      <c r="F982" s="1282"/>
      <c r="G982" s="1282"/>
      <c r="H982" s="1282"/>
      <c r="I982" s="1282"/>
      <c r="J982" s="1282" t="s">
        <v>903</v>
      </c>
      <c r="K982" s="1282"/>
      <c r="L982" s="1282"/>
      <c r="AC982" s="1342"/>
      <c r="AH982" s="274"/>
    </row>
    <row r="983">
      <c r="B983" s="1282"/>
      <c r="C983" s="1282"/>
      <c r="D983" s="1282"/>
      <c r="E983" s="351"/>
      <c r="F983" s="1282"/>
      <c r="G983" s="1282"/>
      <c r="H983" s="1282"/>
      <c r="I983" s="1282"/>
      <c r="J983" s="1282" t="s">
        <v>903</v>
      </c>
      <c r="K983" s="1282"/>
      <c r="L983" s="1282"/>
      <c r="AC983" s="1342"/>
      <c r="AH983" s="274"/>
    </row>
    <row r="984">
      <c r="B984" s="1282"/>
      <c r="C984" s="1282"/>
      <c r="D984" s="1282"/>
      <c r="E984" s="351"/>
      <c r="F984" s="1282"/>
      <c r="G984" s="1282"/>
      <c r="H984" s="1282"/>
      <c r="I984" s="1282"/>
      <c r="J984" s="1282" t="s">
        <v>903</v>
      </c>
      <c r="K984" s="1282"/>
      <c r="L984" s="1282"/>
      <c r="AC984" s="1342"/>
      <c r="AH984" s="274"/>
    </row>
    <row r="985">
      <c r="B985" s="1282"/>
      <c r="C985" s="1282"/>
      <c r="D985" s="1282"/>
      <c r="E985" s="351"/>
      <c r="F985" s="1282"/>
      <c r="G985" s="1282"/>
      <c r="H985" s="1282"/>
      <c r="I985" s="1282"/>
      <c r="J985" s="1282" t="s">
        <v>903</v>
      </c>
      <c r="K985" s="1282"/>
      <c r="L985" s="1282"/>
      <c r="AC985" s="1342"/>
      <c r="AH985" s="274"/>
    </row>
    <row r="986">
      <c r="B986" s="1282"/>
      <c r="C986" s="1282"/>
      <c r="D986" s="1282"/>
      <c r="E986" s="351"/>
      <c r="F986" s="1282"/>
      <c r="G986" s="1282"/>
      <c r="H986" s="1282"/>
      <c r="I986" s="1282"/>
      <c r="J986" s="1282" t="s">
        <v>903</v>
      </c>
      <c r="K986" s="1282"/>
      <c r="L986" s="1282"/>
      <c r="AC986" s="1342"/>
      <c r="AH986" s="274"/>
    </row>
    <row r="987">
      <c r="B987" s="1282"/>
      <c r="C987" s="1282"/>
      <c r="D987" s="1282"/>
      <c r="E987" s="351"/>
      <c r="F987" s="1282"/>
      <c r="G987" s="1282"/>
      <c r="H987" s="1282"/>
      <c r="I987" s="1282"/>
      <c r="J987" s="1282" t="s">
        <v>903</v>
      </c>
      <c r="K987" s="1282"/>
      <c r="L987" s="1282"/>
      <c r="AC987" s="1342"/>
      <c r="AH987" s="274"/>
    </row>
    <row r="988">
      <c r="B988" s="1282"/>
      <c r="C988" s="1282"/>
      <c r="D988" s="1282"/>
      <c r="E988" s="351"/>
      <c r="F988" s="1282"/>
      <c r="G988" s="1282"/>
      <c r="H988" s="1282"/>
      <c r="I988" s="1282"/>
      <c r="J988" s="1282" t="s">
        <v>903</v>
      </c>
      <c r="K988" s="1282"/>
      <c r="L988" s="1282"/>
      <c r="AC988" s="1342"/>
      <c r="AH988" s="274"/>
    </row>
    <row r="989">
      <c r="B989" s="1282"/>
      <c r="C989" s="1282"/>
      <c r="D989" s="1282"/>
      <c r="E989" s="351"/>
      <c r="F989" s="1282"/>
      <c r="G989" s="1282"/>
      <c r="H989" s="1282"/>
      <c r="I989" s="1282"/>
      <c r="J989" s="1282" t="s">
        <v>903</v>
      </c>
      <c r="K989" s="1282"/>
      <c r="L989" s="1282"/>
      <c r="AC989" s="1342"/>
      <c r="AH989" s="274"/>
    </row>
    <row r="990">
      <c r="B990" s="1282"/>
      <c r="C990" s="1282"/>
      <c r="D990" s="1282"/>
      <c r="E990" s="351"/>
      <c r="F990" s="1282"/>
      <c r="G990" s="1282"/>
      <c r="H990" s="1282"/>
      <c r="I990" s="1282"/>
      <c r="J990" s="1282" t="s">
        <v>903</v>
      </c>
      <c r="K990" s="1282"/>
      <c r="L990" s="1282"/>
      <c r="AC990" s="1342"/>
      <c r="AH990" s="274"/>
    </row>
    <row r="991">
      <c r="B991" s="1282"/>
      <c r="C991" s="1282"/>
      <c r="D991" s="1282"/>
      <c r="E991" s="351"/>
      <c r="F991" s="1282"/>
      <c r="G991" s="1282"/>
      <c r="H991" s="1282"/>
      <c r="I991" s="1282"/>
      <c r="J991" s="1282" t="s">
        <v>903</v>
      </c>
      <c r="K991" s="1282"/>
      <c r="L991" s="1282"/>
      <c r="AC991" s="1342"/>
      <c r="AH991" s="274"/>
    </row>
    <row r="992">
      <c r="B992" s="1282"/>
      <c r="C992" s="1282"/>
      <c r="D992" s="1282"/>
      <c r="E992" s="351"/>
      <c r="F992" s="1282"/>
      <c r="G992" s="1282"/>
      <c r="H992" s="1282"/>
      <c r="I992" s="1282"/>
      <c r="J992" s="1282" t="s">
        <v>903</v>
      </c>
      <c r="K992" s="1282"/>
      <c r="L992" s="1282"/>
      <c r="AC992" s="1342"/>
      <c r="AH992" s="274"/>
    </row>
    <row r="993">
      <c r="B993" s="1282"/>
      <c r="C993" s="1282"/>
      <c r="D993" s="1282"/>
      <c r="E993" s="351"/>
      <c r="F993" s="1282"/>
      <c r="G993" s="1282"/>
      <c r="H993" s="1282"/>
      <c r="I993" s="1282"/>
      <c r="J993" s="1282" t="s">
        <v>903</v>
      </c>
      <c r="K993" s="1282"/>
      <c r="L993" s="1282"/>
      <c r="AC993" s="1342"/>
      <c r="AH993" s="274"/>
    </row>
    <row r="994">
      <c r="B994" s="1282"/>
      <c r="C994" s="1282"/>
      <c r="D994" s="1282"/>
      <c r="E994" s="351"/>
      <c r="F994" s="1282"/>
      <c r="G994" s="1282"/>
      <c r="H994" s="1282"/>
      <c r="I994" s="1282"/>
      <c r="J994" s="1282" t="s">
        <v>903</v>
      </c>
      <c r="K994" s="1282"/>
      <c r="L994" s="1282"/>
      <c r="AC994" s="1342"/>
      <c r="AH994" s="274"/>
    </row>
    <row r="995">
      <c r="B995" s="1282"/>
      <c r="C995" s="1282"/>
      <c r="D995" s="1282"/>
      <c r="E995" s="351"/>
      <c r="F995" s="1282"/>
      <c r="G995" s="1282"/>
      <c r="H995" s="1282"/>
      <c r="I995" s="1282"/>
      <c r="J995" s="1282" t="s">
        <v>903</v>
      </c>
      <c r="K995" s="1282"/>
      <c r="L995" s="1282"/>
      <c r="AC995" s="1342"/>
      <c r="AH995" s="274"/>
    </row>
    <row r="996">
      <c r="B996" s="1282"/>
      <c r="C996" s="1282"/>
      <c r="D996" s="1282"/>
      <c r="E996" s="351"/>
      <c r="F996" s="1282"/>
      <c r="G996" s="1282"/>
      <c r="H996" s="1282"/>
      <c r="I996" s="1282"/>
      <c r="J996" s="1282" t="s">
        <v>903</v>
      </c>
      <c r="K996" s="1282"/>
      <c r="L996" s="1282"/>
      <c r="AC996" s="1342"/>
      <c r="AH996" s="274"/>
    </row>
    <row r="997">
      <c r="B997" s="1282"/>
      <c r="C997" s="1282"/>
      <c r="D997" s="1282"/>
      <c r="E997" s="351"/>
      <c r="F997" s="1282"/>
      <c r="G997" s="1282"/>
      <c r="H997" s="1282"/>
      <c r="I997" s="1282"/>
      <c r="J997" s="1282" t="s">
        <v>903</v>
      </c>
      <c r="K997" s="1282"/>
      <c r="L997" s="1282"/>
      <c r="AC997" s="1342"/>
      <c r="AH997" s="274"/>
    </row>
    <row r="998">
      <c r="B998" s="1282"/>
      <c r="C998" s="1282"/>
      <c r="D998" s="1282"/>
      <c r="E998" s="351"/>
      <c r="F998" s="1282"/>
      <c r="G998" s="1282"/>
      <c r="H998" s="1282"/>
      <c r="I998" s="1282"/>
      <c r="J998" s="1282" t="s">
        <v>903</v>
      </c>
      <c r="K998" s="1282"/>
      <c r="L998" s="1282"/>
      <c r="AC998" s="1342"/>
      <c r="AH998" s="274"/>
    </row>
    <row r="999">
      <c r="B999" s="1282"/>
      <c r="C999" s="1282"/>
      <c r="D999" s="1282"/>
      <c r="E999" s="351"/>
      <c r="F999" s="1282"/>
      <c r="G999" s="1282"/>
      <c r="H999" s="1282"/>
      <c r="I999" s="1282"/>
      <c r="J999" s="1282" t="s">
        <v>903</v>
      </c>
      <c r="K999" s="1282"/>
      <c r="L999" s="1282"/>
      <c r="AC999" s="1342"/>
      <c r="AH999" s="274"/>
    </row>
    <row r="1000">
      <c r="B1000" s="1282"/>
      <c r="C1000" s="1282"/>
      <c r="D1000" s="1282"/>
      <c r="E1000" s="351"/>
      <c r="F1000" s="1282"/>
      <c r="G1000" s="1282"/>
      <c r="H1000" s="1282"/>
      <c r="I1000" s="1282"/>
      <c r="J1000" s="1282" t="s">
        <v>903</v>
      </c>
      <c r="K1000" s="1282"/>
      <c r="L1000" s="1282"/>
      <c r="AC1000" s="1342"/>
      <c r="AH1000" s="274"/>
    </row>
    <row r="1001">
      <c r="B1001" s="1282"/>
      <c r="C1001" s="1282"/>
      <c r="D1001" s="1282"/>
      <c r="E1001" s="351"/>
      <c r="F1001" s="1282"/>
      <c r="G1001" s="1282"/>
      <c r="H1001" s="1282"/>
      <c r="I1001" s="1282"/>
      <c r="J1001" s="1282" t="s">
        <v>903</v>
      </c>
      <c r="K1001" s="1282"/>
      <c r="L1001" s="1282"/>
      <c r="AC1001" s="1342"/>
      <c r="AH1001" s="274"/>
    </row>
    <row r="1002">
      <c r="B1002" s="1282"/>
      <c r="C1002" s="1282"/>
      <c r="D1002" s="1282"/>
      <c r="E1002" s="351"/>
      <c r="F1002" s="1282"/>
      <c r="G1002" s="1282"/>
      <c r="H1002" s="1282"/>
      <c r="I1002" s="1282"/>
      <c r="J1002" s="1282" t="s">
        <v>903</v>
      </c>
      <c r="K1002" s="1282"/>
      <c r="L1002" s="1282"/>
      <c r="AC1002" s="1342"/>
      <c r="AH1002" s="274"/>
    </row>
    <row r="1003">
      <c r="B1003" s="1282"/>
      <c r="C1003" s="1282"/>
      <c r="D1003" s="1282"/>
      <c r="E1003" s="351"/>
      <c r="F1003" s="1282"/>
      <c r="G1003" s="1282"/>
      <c r="H1003" s="1282"/>
      <c r="I1003" s="1282"/>
      <c r="J1003" s="1282" t="s">
        <v>903</v>
      </c>
      <c r="K1003" s="1282"/>
      <c r="L1003" s="1282"/>
      <c r="AC1003" s="1342"/>
      <c r="AH1003" s="274"/>
    </row>
    <row r="1004">
      <c r="B1004" s="1282"/>
      <c r="C1004" s="1282"/>
      <c r="D1004" s="1282"/>
      <c r="E1004" s="351"/>
      <c r="F1004" s="1282"/>
      <c r="G1004" s="1282"/>
      <c r="H1004" s="1282"/>
      <c r="I1004" s="1282"/>
      <c r="J1004" s="1282" t="s">
        <v>903</v>
      </c>
      <c r="K1004" s="1282"/>
      <c r="L1004" s="1282"/>
      <c r="AC1004" s="1342"/>
      <c r="AH1004" s="274"/>
    </row>
    <row r="1005">
      <c r="B1005" s="1282"/>
      <c r="C1005" s="1282"/>
      <c r="D1005" s="1282"/>
      <c r="E1005" s="351"/>
      <c r="F1005" s="1282"/>
      <c r="G1005" s="1282"/>
      <c r="H1005" s="1282"/>
      <c r="I1005" s="1282"/>
      <c r="J1005" s="1282" t="s">
        <v>903</v>
      </c>
      <c r="K1005" s="1282"/>
      <c r="L1005" s="1282"/>
      <c r="AC1005" s="1342"/>
      <c r="AH1005" s="274"/>
    </row>
    <row r="1006">
      <c r="B1006" s="1282"/>
      <c r="C1006" s="1282"/>
      <c r="D1006" s="1282"/>
      <c r="E1006" s="351"/>
      <c r="F1006" s="1282"/>
      <c r="G1006" s="1282"/>
      <c r="H1006" s="1282"/>
      <c r="I1006" s="1282"/>
      <c r="J1006" s="1282" t="s">
        <v>903</v>
      </c>
      <c r="K1006" s="1282"/>
      <c r="L1006" s="1282"/>
      <c r="AC1006" s="1342"/>
      <c r="AH1006" s="274"/>
    </row>
    <row r="1007">
      <c r="B1007" s="1282"/>
      <c r="C1007" s="1282"/>
      <c r="D1007" s="1282"/>
      <c r="E1007" s="351"/>
      <c r="F1007" s="1282"/>
      <c r="G1007" s="1282"/>
      <c r="H1007" s="1282"/>
      <c r="I1007" s="1282"/>
      <c r="J1007" s="1282" t="s">
        <v>903</v>
      </c>
      <c r="K1007" s="1282"/>
      <c r="L1007" s="1282"/>
      <c r="AC1007" s="1342"/>
      <c r="AH1007" s="274"/>
    </row>
    <row r="1008">
      <c r="B1008" s="1282"/>
      <c r="C1008" s="1282"/>
      <c r="D1008" s="1282"/>
      <c r="E1008" s="351"/>
      <c r="F1008" s="1282"/>
      <c r="G1008" s="1282"/>
      <c r="H1008" s="1282"/>
      <c r="I1008" s="1282"/>
      <c r="J1008" s="1282" t="s">
        <v>903</v>
      </c>
      <c r="K1008" s="1282"/>
      <c r="L1008" s="1282"/>
      <c r="AC1008" s="1342"/>
      <c r="AH1008" s="274"/>
    </row>
    <row r="1009">
      <c r="B1009" s="1282"/>
      <c r="C1009" s="1282"/>
      <c r="D1009" s="1282"/>
      <c r="E1009" s="351"/>
      <c r="F1009" s="1282"/>
      <c r="G1009" s="1282"/>
      <c r="H1009" s="1282"/>
      <c r="I1009" s="1282"/>
      <c r="J1009" s="1282" t="s">
        <v>903</v>
      </c>
      <c r="K1009" s="1282"/>
      <c r="L1009" s="1282"/>
      <c r="AC1009" s="1342"/>
      <c r="AH1009" s="274"/>
    </row>
    <row r="1010">
      <c r="B1010" s="1282"/>
      <c r="C1010" s="1282"/>
      <c r="D1010" s="1282"/>
      <c r="E1010" s="351"/>
      <c r="F1010" s="1282"/>
      <c r="G1010" s="1282"/>
      <c r="H1010" s="1282"/>
      <c r="I1010" s="1282"/>
      <c r="J1010" s="1282" t="s">
        <v>903</v>
      </c>
      <c r="K1010" s="1282"/>
      <c r="L1010" s="1282"/>
      <c r="AC1010" s="1342"/>
      <c r="AH1010" s="274"/>
    </row>
    <row r="1011">
      <c r="B1011" s="1282"/>
      <c r="C1011" s="1282"/>
      <c r="D1011" s="1282"/>
      <c r="E1011" s="351"/>
      <c r="F1011" s="1282"/>
      <c r="G1011" s="1282"/>
      <c r="H1011" s="1282"/>
      <c r="I1011" s="1282"/>
      <c r="J1011" s="1282" t="s">
        <v>903</v>
      </c>
      <c r="K1011" s="1282"/>
      <c r="L1011" s="1282"/>
      <c r="AC1011" s="1342"/>
      <c r="AH1011" s="274"/>
    </row>
    <row r="1012">
      <c r="B1012" s="1282"/>
      <c r="C1012" s="1282"/>
      <c r="D1012" s="1282"/>
      <c r="E1012" s="351"/>
      <c r="F1012" s="1282"/>
      <c r="G1012" s="1282"/>
      <c r="H1012" s="1282"/>
      <c r="I1012" s="1282"/>
      <c r="J1012" s="1282" t="s">
        <v>903</v>
      </c>
      <c r="K1012" s="1282"/>
      <c r="L1012" s="1282"/>
      <c r="AC1012" s="1342"/>
      <c r="AH1012" s="274"/>
    </row>
    <row r="1013">
      <c r="B1013" s="1282"/>
      <c r="C1013" s="1282"/>
      <c r="D1013" s="1282"/>
      <c r="E1013" s="351"/>
      <c r="F1013" s="1282"/>
      <c r="G1013" s="1282"/>
      <c r="H1013" s="1282"/>
      <c r="I1013" s="1282"/>
      <c r="J1013" s="1282" t="s">
        <v>903</v>
      </c>
      <c r="K1013" s="1282"/>
      <c r="L1013" s="1282"/>
      <c r="AC1013" s="1342"/>
      <c r="AH1013" s="274"/>
    </row>
    <row r="1014">
      <c r="B1014" s="1282"/>
      <c r="C1014" s="1282"/>
      <c r="D1014" s="1282"/>
      <c r="E1014" s="351"/>
      <c r="F1014" s="1282"/>
      <c r="G1014" s="1282"/>
      <c r="H1014" s="1282"/>
      <c r="I1014" s="1282"/>
      <c r="J1014" s="1282" t="s">
        <v>903</v>
      </c>
      <c r="K1014" s="1282"/>
      <c r="L1014" s="1282"/>
      <c r="AC1014" s="1342"/>
      <c r="AH1014" s="274"/>
    </row>
    <row r="1015">
      <c r="B1015" s="1282"/>
      <c r="C1015" s="1282"/>
      <c r="D1015" s="1282"/>
      <c r="E1015" s="351"/>
      <c r="F1015" s="1282"/>
      <c r="G1015" s="1282"/>
      <c r="H1015" s="1282"/>
      <c r="I1015" s="1282"/>
      <c r="J1015" s="1282" t="s">
        <v>903</v>
      </c>
      <c r="K1015" s="1282"/>
      <c r="L1015" s="1282"/>
      <c r="AC1015" s="1342"/>
      <c r="AH1015" s="274"/>
    </row>
    <row r="1016">
      <c r="B1016" s="1282"/>
      <c r="C1016" s="1282"/>
      <c r="D1016" s="1282"/>
      <c r="E1016" s="351"/>
      <c r="F1016" s="1282"/>
      <c r="G1016" s="1282"/>
      <c r="H1016" s="1282"/>
      <c r="I1016" s="1282"/>
      <c r="J1016" s="1282" t="s">
        <v>903</v>
      </c>
      <c r="K1016" s="1282"/>
      <c r="L1016" s="1282"/>
      <c r="AC1016" s="1342"/>
      <c r="AH1016" s="274"/>
    </row>
    <row r="1017">
      <c r="B1017" s="1282"/>
      <c r="C1017" s="1282"/>
      <c r="D1017" s="1282"/>
      <c r="E1017" s="351"/>
      <c r="F1017" s="1282"/>
      <c r="G1017" s="1282"/>
      <c r="H1017" s="1282"/>
      <c r="I1017" s="1282"/>
      <c r="J1017" s="1282" t="s">
        <v>903</v>
      </c>
      <c r="K1017" s="1282"/>
      <c r="L1017" s="1282"/>
      <c r="AC1017" s="1342"/>
      <c r="AH1017" s="274"/>
    </row>
    <row r="1018">
      <c r="B1018" s="1282"/>
      <c r="C1018" s="1282"/>
      <c r="D1018" s="1282"/>
      <c r="E1018" s="351"/>
      <c r="F1018" s="1282"/>
      <c r="G1018" s="1282"/>
      <c r="H1018" s="1282"/>
      <c r="I1018" s="1282"/>
      <c r="J1018" s="1282" t="s">
        <v>903</v>
      </c>
      <c r="K1018" s="1282"/>
      <c r="L1018" s="1282"/>
      <c r="AC1018" s="1342"/>
      <c r="AH1018" s="274"/>
    </row>
    <row r="1019">
      <c r="B1019" s="1282"/>
      <c r="C1019" s="1282"/>
      <c r="D1019" s="1282"/>
      <c r="E1019" s="351"/>
      <c r="F1019" s="1282"/>
      <c r="G1019" s="1282"/>
      <c r="H1019" s="1282"/>
      <c r="I1019" s="1282"/>
      <c r="J1019" s="1282" t="s">
        <v>903</v>
      </c>
      <c r="K1019" s="1282"/>
      <c r="L1019" s="1282"/>
      <c r="AC1019" s="1342"/>
      <c r="AH1019" s="274"/>
    </row>
    <row r="1020">
      <c r="B1020" s="1282"/>
      <c r="C1020" s="1282"/>
      <c r="D1020" s="1282"/>
      <c r="E1020" s="351"/>
      <c r="F1020" s="1282"/>
      <c r="G1020" s="1282"/>
      <c r="H1020" s="1282"/>
      <c r="I1020" s="1282"/>
      <c r="J1020" s="1282" t="s">
        <v>903</v>
      </c>
      <c r="K1020" s="1282"/>
      <c r="L1020" s="1282"/>
      <c r="AC1020" s="1342"/>
      <c r="AH1020" s="274"/>
    </row>
    <row r="1021">
      <c r="B1021" s="1282"/>
      <c r="C1021" s="1282"/>
      <c r="D1021" s="1282"/>
      <c r="E1021" s="351"/>
      <c r="F1021" s="1282"/>
      <c r="G1021" s="1282"/>
      <c r="H1021" s="1282"/>
      <c r="I1021" s="1282"/>
      <c r="J1021" s="1282" t="s">
        <v>903</v>
      </c>
      <c r="K1021" s="1282"/>
      <c r="L1021" s="1282"/>
      <c r="AC1021" s="1342"/>
      <c r="AH1021" s="274"/>
    </row>
    <row r="1022">
      <c r="B1022" s="1282"/>
      <c r="C1022" s="1282"/>
      <c r="D1022" s="1282"/>
      <c r="E1022" s="351"/>
      <c r="F1022" s="1282"/>
      <c r="G1022" s="1282"/>
      <c r="H1022" s="1282"/>
      <c r="I1022" s="1282"/>
      <c r="J1022" s="1282" t="s">
        <v>903</v>
      </c>
      <c r="K1022" s="1282"/>
      <c r="L1022" s="1282"/>
      <c r="AC1022" s="1342"/>
      <c r="AH1022" s="274"/>
    </row>
    <row r="1023">
      <c r="B1023" s="1282"/>
      <c r="C1023" s="1282"/>
      <c r="D1023" s="1282"/>
      <c r="E1023" s="351"/>
      <c r="F1023" s="1282"/>
      <c r="G1023" s="1282"/>
      <c r="H1023" s="1282"/>
      <c r="I1023" s="1282"/>
      <c r="J1023" s="1282" t="s">
        <v>903</v>
      </c>
      <c r="K1023" s="1282"/>
      <c r="L1023" s="1282"/>
      <c r="AC1023" s="1342"/>
      <c r="AH1023" s="274"/>
    </row>
    <row r="1024">
      <c r="B1024" s="1282"/>
      <c r="C1024" s="1282"/>
      <c r="D1024" s="1282"/>
      <c r="E1024" s="351"/>
      <c r="F1024" s="1282"/>
      <c r="G1024" s="1282"/>
      <c r="H1024" s="1282"/>
      <c r="I1024" s="1282"/>
      <c r="J1024" s="1282" t="s">
        <v>903</v>
      </c>
      <c r="K1024" s="1282"/>
      <c r="L1024" s="1282"/>
      <c r="AC1024" s="1342"/>
      <c r="AH1024" s="274"/>
    </row>
    <row r="1025">
      <c r="B1025" s="1282"/>
      <c r="C1025" s="1282"/>
      <c r="D1025" s="1282"/>
      <c r="E1025" s="351"/>
      <c r="F1025" s="1282"/>
      <c r="G1025" s="1282"/>
      <c r="H1025" s="1282"/>
      <c r="I1025" s="1282"/>
      <c r="J1025" s="1282" t="s">
        <v>903</v>
      </c>
      <c r="K1025" s="1282"/>
      <c r="L1025" s="1282"/>
      <c r="AC1025" s="1342"/>
      <c r="AH1025" s="274"/>
    </row>
    <row r="1026">
      <c r="B1026" s="1282"/>
      <c r="C1026" s="1282"/>
      <c r="D1026" s="1282"/>
      <c r="E1026" s="351"/>
      <c r="F1026" s="1282"/>
      <c r="G1026" s="1282"/>
      <c r="H1026" s="1282"/>
      <c r="I1026" s="1282"/>
      <c r="J1026" s="1282" t="s">
        <v>903</v>
      </c>
      <c r="K1026" s="1282"/>
      <c r="L1026" s="1282"/>
      <c r="AC1026" s="1342"/>
      <c r="AH1026" s="274"/>
    </row>
    <row r="1027">
      <c r="B1027" s="1282"/>
      <c r="C1027" s="1282"/>
      <c r="D1027" s="1282"/>
      <c r="E1027" s="351"/>
      <c r="F1027" s="1282"/>
      <c r="G1027" s="1282"/>
      <c r="H1027" s="1282"/>
      <c r="I1027" s="1282"/>
      <c r="J1027" s="1282" t="s">
        <v>903</v>
      </c>
      <c r="K1027" s="1282"/>
      <c r="L1027" s="1282"/>
      <c r="AC1027" s="1342"/>
      <c r="AH1027" s="274"/>
    </row>
    <row r="1028">
      <c r="B1028" s="1282"/>
      <c r="C1028" s="1282"/>
      <c r="D1028" s="1282"/>
      <c r="E1028" s="351"/>
      <c r="F1028" s="1282"/>
      <c r="G1028" s="1282"/>
      <c r="H1028" s="1282"/>
      <c r="I1028" s="1282"/>
      <c r="J1028" s="1282" t="s">
        <v>903</v>
      </c>
      <c r="K1028" s="1282"/>
      <c r="L1028" s="1282"/>
      <c r="AC1028" s="1342"/>
      <c r="AH1028" s="274"/>
    </row>
    <row r="1029">
      <c r="B1029" s="1282"/>
      <c r="C1029" s="1282"/>
      <c r="D1029" s="1282"/>
      <c r="E1029" s="351"/>
      <c r="F1029" s="1282"/>
      <c r="G1029" s="1282"/>
      <c r="H1029" s="1282"/>
      <c r="I1029" s="1282"/>
      <c r="J1029" s="1282" t="s">
        <v>903</v>
      </c>
      <c r="K1029" s="1282"/>
      <c r="L1029" s="1282"/>
      <c r="AC1029" s="1342"/>
      <c r="AH1029" s="274"/>
    </row>
    <row r="1030">
      <c r="B1030" s="1282"/>
      <c r="C1030" s="1282"/>
      <c r="D1030" s="1282"/>
      <c r="E1030" s="351"/>
      <c r="F1030" s="1282"/>
      <c r="G1030" s="1282"/>
      <c r="H1030" s="1282"/>
      <c r="I1030" s="1282"/>
      <c r="J1030" s="1282" t="s">
        <v>903</v>
      </c>
      <c r="K1030" s="1282"/>
      <c r="L1030" s="1282"/>
      <c r="AC1030" s="1342"/>
      <c r="AH1030" s="274"/>
    </row>
    <row r="1031">
      <c r="B1031" s="1282"/>
      <c r="C1031" s="1282"/>
      <c r="D1031" s="1282"/>
      <c r="E1031" s="351"/>
      <c r="F1031" s="1282"/>
      <c r="G1031" s="1282"/>
      <c r="H1031" s="1282"/>
      <c r="I1031" s="1282"/>
      <c r="J1031" s="1282" t="s">
        <v>903</v>
      </c>
      <c r="K1031" s="1282"/>
      <c r="L1031" s="1282"/>
      <c r="AC1031" s="1342"/>
      <c r="AH1031" s="274"/>
    </row>
    <row r="1032">
      <c r="B1032" s="1282"/>
      <c r="C1032" s="1282"/>
      <c r="D1032" s="1282"/>
      <c r="E1032" s="351"/>
      <c r="F1032" s="1282"/>
      <c r="G1032" s="1282"/>
      <c r="H1032" s="1282"/>
      <c r="I1032" s="1282"/>
      <c r="J1032" s="1282" t="s">
        <v>903</v>
      </c>
      <c r="K1032" s="1282"/>
      <c r="L1032" s="1282"/>
      <c r="AC1032" s="1342"/>
      <c r="AH1032" s="274"/>
    </row>
    <row r="1033">
      <c r="B1033" s="1282"/>
      <c r="C1033" s="1282"/>
      <c r="D1033" s="1282"/>
      <c r="E1033" s="351"/>
      <c r="F1033" s="1282"/>
      <c r="G1033" s="1282"/>
      <c r="H1033" s="1282"/>
      <c r="I1033" s="1282"/>
      <c r="J1033" s="1282" t="s">
        <v>903</v>
      </c>
      <c r="K1033" s="1282"/>
      <c r="L1033" s="1282"/>
      <c r="AC1033" s="1342"/>
      <c r="AH1033" s="274"/>
    </row>
    <row r="1034">
      <c r="B1034" s="1282"/>
      <c r="C1034" s="1282"/>
      <c r="D1034" s="1282"/>
      <c r="E1034" s="351"/>
      <c r="F1034" s="1282"/>
      <c r="G1034" s="1282"/>
      <c r="H1034" s="1282"/>
      <c r="I1034" s="1282"/>
      <c r="J1034" s="1282" t="s">
        <v>903</v>
      </c>
      <c r="K1034" s="1282"/>
      <c r="L1034" s="1282"/>
      <c r="AC1034" s="1342"/>
      <c r="AH1034" s="274"/>
    </row>
    <row r="1035">
      <c r="B1035" s="1282"/>
      <c r="C1035" s="1282"/>
      <c r="D1035" s="1282"/>
      <c r="E1035" s="351"/>
      <c r="F1035" s="1282"/>
      <c r="G1035" s="1282"/>
      <c r="H1035" s="1282"/>
      <c r="I1035" s="1282"/>
      <c r="J1035" s="1282" t="s">
        <v>903</v>
      </c>
      <c r="K1035" s="1282"/>
      <c r="L1035" s="1282"/>
      <c r="AC1035" s="1342"/>
      <c r="AH1035" s="274"/>
    </row>
    <row r="1036">
      <c r="B1036" s="1282"/>
      <c r="C1036" s="1282"/>
      <c r="D1036" s="1282"/>
      <c r="E1036" s="351"/>
      <c r="F1036" s="1282"/>
      <c r="G1036" s="1282"/>
      <c r="H1036" s="1282"/>
      <c r="I1036" s="1282"/>
      <c r="J1036" s="1282" t="s">
        <v>903</v>
      </c>
      <c r="K1036" s="1282"/>
      <c r="L1036" s="1282"/>
      <c r="AC1036" s="1342"/>
      <c r="AH1036" s="274"/>
    </row>
    <row r="1037">
      <c r="B1037" s="1282"/>
      <c r="C1037" s="1282"/>
      <c r="D1037" s="1282"/>
      <c r="E1037" s="351"/>
      <c r="F1037" s="1282"/>
      <c r="G1037" s="1282"/>
      <c r="H1037" s="1282"/>
      <c r="I1037" s="1282"/>
      <c r="J1037" s="1282" t="s">
        <v>903</v>
      </c>
      <c r="K1037" s="1282"/>
      <c r="L1037" s="1282"/>
      <c r="AC1037" s="1342"/>
      <c r="AH1037" s="274"/>
    </row>
    <row r="1038">
      <c r="B1038" s="1282"/>
      <c r="C1038" s="1282"/>
      <c r="D1038" s="1282"/>
      <c r="E1038" s="351"/>
      <c r="F1038" s="1282"/>
      <c r="G1038" s="1282"/>
      <c r="H1038" s="1282"/>
      <c r="I1038" s="1282"/>
      <c r="J1038" s="1282" t="s">
        <v>903</v>
      </c>
      <c r="K1038" s="1282"/>
      <c r="L1038" s="1282"/>
      <c r="AC1038" s="1342"/>
      <c r="AH1038" s="27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