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<sst xmlns="http://schemas.openxmlformats.org/spreadsheetml/2006/main" count="9229" uniqueCount="1184">
  <si>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</si>
  <si>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</si>
  <si>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</si>
  <si>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</si>
  <si>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</si>
  <si>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</si>
  <si>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</si>
  <si>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</si>
  <si>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</si>
  <si>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</si>
  <si>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</si>
  <si>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</si>
  <si>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</si>
  <si>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</si>
  <si>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</si>
  <si>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</si>
  <si>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</si>
  <si>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</si>
  <si>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</si>
  <si>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</si>
  <si>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</si>
  <si>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</si>
  <si>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</si>
  <si>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</si>
  <si>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</si>
  <si>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</si>
  <si>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</si>
  <si>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</si>
  <si>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</si>
  <si>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</si>
  <si>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</si>
  <si>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</si>
  <si>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</si>
  <si>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</si>
  <si>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</si>
  <si>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</si>
  <si>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</si>
  <si>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</si>
  <si>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</si>
  <si>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</si>
  <si>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</si>
  <si>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</si>
  <si>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</si>
  <si>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</si>
  <si>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</si>
  <si>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</si>
  <si>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</si>
  <si>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</si>
  <si>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</si>
  <si>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</si>
  <si>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</si>
  <si>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</si>
  <si>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</si>
  <si>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</si>
  <si>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</si>
  <si>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</si>
  <si>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</si>
  <si>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</si>
  <si>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</si>
  <si>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</si>
  <si>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</si>
  <si>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</si>
  <si>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</si>
  <si>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</si>
  <si>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</si>
  <si>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</si>
  <si>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</si>
  <si>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</si>
  <si>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</si>
  <si>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</si>
  <si>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</si>
  <si>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</si>
  <si>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</si>
  <si>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</si>
  <si>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</si>
  <si>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</si>
  <si>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</si>
  <si>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</si>
  <si>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</si>
  <si>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</si>
  <si>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</si>
  <si>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</si>
  <si>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</si>
  <si>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</si>
  <si>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</si>
  <si>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</si>
  <si>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</si>
  <si>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</si>
  <si>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</si>
  <si>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</si>
  <si>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</si>
  <si>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</si>
  <si>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</si>
  <si>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</si>
  <si>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</si>
  <si>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</si>
  <si>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</si>
  <si>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</si>
  <si>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</si>
  <si>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</si>
  <si>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</si>
  <si>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</si>
  <si>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</si>
  <si>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</si>
  <si>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</si>
  <si>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</si>
  <si>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</si>
  <si>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</si>
  <si>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</si>
  <si>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</si>
  <si>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</si>
  <si>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</si>
  <si>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</si>
  <si>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</si>
  <si>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</si>
  <si>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</si>
  <si>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</si>
  <si>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</si>
  <si>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</si>
  <si>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</si>
  <si>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</si>
  <si>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</si>
  <si>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</si>
  <si>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</si>
  <si>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</si>
  <si>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</si>
  <si>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</si>
  <si>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</si>
  <si>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</si>
  <si>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</si>
  <si>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</si>
  <si>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</si>
  <si>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</si>
  <si>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</si>
  <si>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</si>
  <si>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</si>
  <si>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</si>
  <si>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</si>
  <si>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</si>
  <si>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</si>
  <si>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</si>
  <si>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</si>
  <si>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</si>
  <si>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</si>
  <si>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</si>
  <si>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</si>
  <si>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</si>
  <si>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</si>
  <si>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</si>
  <si>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</si>
  <si>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</si>
  <si>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</si>
  <si>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</si>
  <si>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</si>
  <si>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</si>
  <si>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</si>
  <si>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</si>
  <si>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</si>
  <si>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</si>
  <si>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</si>
  <si>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</si>
  <si>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</si>
  <si>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</si>
  <si>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</si>
  <si>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</si>
  <si>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</si>
  <si>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</si>
  <si>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</si>
  <si>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</si>
  <si>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</si>
  <si>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</si>
  <si>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</si>
  <si>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</si>
  <si>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</si>
  <si>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</si>
  <si>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</si>
  <si>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</si>
  <si>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</si>
  <si>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</si>
  <si>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</si>
  <si>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</si>
  <si>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</si>
  <si>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</si>
  <si>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</si>
  <si>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</si>
  <si>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</si>
  <si>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</si>
  <si>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</si>
  <si>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</si>
  <si>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</si>
  <si>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</si>
  <si>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</si>
  <si>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</si>
  <si>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</si>
  <si>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</si>
  <si>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</si>
  <si>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</si>
  <si>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</si>
  <si>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</si>
  <si>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</si>
  <si>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</si>
  <si>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</si>
  <si>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</si>
  <si>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</si>
  <si>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</si>
  <si>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</si>
  <si>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</si>
  <si>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</si>
  <si>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</si>
  <si>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</si>
  <si>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</si>
  <si>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</si>
  <si>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</si>
  <si>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</si>
  <si>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</si>
  <si>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</si>
  <si>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</si>
  <si>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</si>
  <si>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</si>
  <si>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</si>
  <si>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</si>
  <si>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</si>
  <si>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</si>
  <si>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</si>
  <si>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</si>
  <si>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</si>
  <si>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</si>
  <si>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</si>
  <si>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</si>
  <si>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</si>
  <si>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</si>
  <si>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</si>
  <si>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</si>
  <si>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</si>
  <si>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</si>
  <si>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</si>
  <si>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</si>
  <si>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</si>
  <si>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</si>
  <si>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</si>
  <si>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</si>
  <si>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</si>
  <si>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</si>
  <si>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</si>
  <si>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</si>
  <si>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</si>
  <si>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</si>
  <si>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</si>
  <si>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</si>
  <si>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</si>
  <si>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</si>
  <si>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</si>
  <si>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</si>
  <si>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</si>
  <si>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</si>
  <si>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</si>
  <si>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</si>
  <si>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</si>
  <si>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</si>
  <si>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</si>
  <si>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</si>
  <si>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</si>
  <si>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</si>
  <si>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</si>
  <si>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</si>
  <si>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</si>
  <si>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</si>
  <si>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</si>
  <si>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</si>
  <si>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</si>
  <si>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</si>
  <si>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</si>
  <si>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</si>
  <si>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</si>
  <si>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</si>
  <si>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</si>
  <si>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</si>
  <si>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</si>
  <si>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</si>
  <si>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</si>
  <si>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</si>
  <si>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</si>
  <si>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</si>
  <si>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</si>
  <si>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</si>
  <si>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</si>
  <si>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</si>
  <si>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</si>
  <si>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</si>
  <si>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</si>
  <si>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</si>
  <si>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</si>
  <si>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</si>
  <si>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</si>
  <si>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</si>
  <si>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</si>
  <si>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</si>
  <si>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</si>
  <si>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</si>
  <si>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</si>
  <si>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</si>
  <si>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</si>
  <si>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</si>
  <si>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</si>
  <si>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</si>
  <si>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</si>
  <si>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</si>
  <si>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</si>
  <si>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</si>
  <si>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</si>
  <si>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</si>
  <si>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</si>
  <si>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</si>
  <si>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</si>
  <si>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</si>
  <si>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</si>
  <si>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</si>
  <si>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</si>
  <si>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</si>
  <si>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</si>
  <si>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</si>
  <si>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</si>
  <si>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</si>
  <si>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</si>
  <si>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</si>
  <si>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</si>
  <si>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</si>
  <si>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</si>
  <si>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</si>
  <si>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</si>
  <si>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</si>
  <si>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</si>
  <si>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</si>
  <si>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</si>
  <si>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</si>
  <si>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</si>
  <si>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</si>
  <si>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</si>
  <si>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</si>
  <si>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</si>
  <si>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</si>
  <si>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</si>
  <si>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</si>
  <si>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</si>
  <si>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</si>
  <si>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</si>
  <si>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</si>
  <si>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</si>
  <si>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</si>
  <si>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</si>
  <si>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</si>
  <si>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</si>
  <si>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</si>
  <si>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</si>
  <si>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</si>
  <si>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</si>
  <si>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</si>
  <si>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</si>
  <si>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</si>
  <si>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</si>
  <si>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</si>
  <si>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</si>
  <si>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</si>
  <si>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</si>
  <si>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</si>
  <si>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</si>
  <si>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</si>
  <si>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</si>
  <si>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</si>
  <si>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</si>
  <si>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</si>
  <si>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</si>
  <si>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</si>
  <si>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</si>
  <si>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</si>
  <si>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</si>
  <si>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</si>
  <si>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</si>
  <si>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</si>
  <si>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</si>
  <si>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</si>
  <si>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</si>
  <si>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</si>
  <si>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</si>
  <si>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</si>
  <si>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</si>
  <si>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</si>
  <si>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</si>
  <si>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</si>
  <si>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</si>
  <si>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</si>
  <si>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</si>
  <si>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</si>
  <si>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</si>
  <si>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</si>
  <si>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</si>
  <si>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</si>
  <si>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</si>
  <si>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</si>
  <si>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</si>
  <si>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</si>
  <si>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</si>
  <si>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</si>
  <si>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</si>
  <si>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</si>
  <si>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</si>
  <si>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</si>
  <si>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</si>
  <si>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</si>
  <si>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</si>
  <si>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</si>
  <si>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</si>
  <si>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</si>
  <si>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</si>
  <si>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</si>
  <si>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</si>
  <si>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</si>
  <si>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</si>
  <si>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</si>
  <si>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</si>
  <si>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</si>
  <si>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</si>
  <si>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</si>
  <si>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</si>
  <si>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</si>
  <si>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</si>
  <si>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</si>
  <si>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</si>
  <si>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</si>
  <si>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</si>
  <si>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</si>
  <si>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</si>
  <si>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</si>
  <si>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</si>
  <si>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</si>
  <si>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</si>
  <si>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</si>
  <si>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</si>
  <si>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</si>
  <si>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</si>
  <si>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</si>
  <si>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</si>
  <si>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</si>
  <si>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</si>
  <si>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</si>
  <si>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</si>
  <si>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</si>
  <si>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</si>
  <si>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</si>
  <si>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</si>
  <si>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</si>
  <si>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</si>
  <si>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</si>
  <si>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</si>
  <si>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</si>
  <si>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</si>
  <si>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</si>
  <si>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</si>
  <si>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</si>
  <si>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</si>
  <si>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</si>
  <si>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</si>
  <si>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</si>
  <si>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</si>
  <si>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</si>
  <si>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</si>
  <si>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</si>
  <si>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</si>
  <si>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</si>
  <si>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</si>
  <si>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</si>
  <si>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</si>
  <si>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</si>
  <si>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</si>
  <si>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</si>
  <si>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</si>
  <si>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</si>
  <si>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</si>
  <si>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</si>
  <si>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</si>
  <si>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</si>
  <si>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</si>
  <si>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</si>
  <si>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</si>
  <si>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</si>
  <si>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</si>
  <si>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</si>
  <si>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退</t>
  </si>
  <si>
    <t>ワンディ</t>
  </si>
  <si>
    <t>8.メイド(歩合)</t>
  </si>
  <si>
    <t>PB＆メイド</t>
  </si>
  <si>
    <t>カノン</t>
  </si>
  <si>
    <t>スニル</t>
  </si>
  <si>
    <t>ジョティ</t>
  </si>
  <si>
    <t>リサン</t>
  </si>
  <si>
    <t>ラクシュミ</t>
  </si>
  <si>
    <t>アソク</t>
  </si>
  <si>
    <t>マガル</t>
  </si>
  <si>
    <t>ダワ</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</si>
  <si>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</si>
  <si>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</si>
  <si>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</si>
  <si>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</si>
  <si>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</si>
  <si>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</si>
  <si>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</si>
  <si>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</si>
  <si>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</si>
  <si>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</si>
  <si>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</si>
  <si>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</si>
  <si>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</si>
  <si>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</si>
  <si>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</si>
  <si>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</si>
  <si>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</si>
  <si>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</si>
  <si>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</si>
  <si>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</si>
  <si>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</si>
  <si>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</si>
  <si>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</si>
  <si>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</si>
  <si>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</si>
  <si>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</si>
  <si>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</si>
  <si>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</si>
  <si>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</si>
  <si>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</si>
  <si>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</si>
  <si>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</si>
  <si>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</si>
  <si>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</si>
  <si>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</si>
  <si>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</si>
  <si>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</si>
  <si>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</si>
  <si>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</si>
  <si>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</si>
  <si>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</si>
  <si>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</si>
  <si>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</si>
  <si>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</si>
  <si>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</si>
  <si>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</si>
  <si>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</si>
  <si>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</si>
  <si>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</si>
  <si>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</si>
  <si>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</si>
  <si>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</si>
  <si>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</si>
  <si>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</si>
  <si>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</si>
  <si>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</si>
  <si>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</si>
  <si>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</si>
  <si>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</si>
  <si>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</si>
  <si>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</si>
  <si>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</si>
  <si>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</si>
  <si>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</si>
  <si>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</si>
  <si>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</si>
  <si>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</si>
  <si>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</si>
  <si>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</si>
  <si>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</si>
  <si>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</si>
  <si>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</si>
  <si>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</si>
  <si>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</si>
  <si>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</si>
  <si>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</si>
  <si>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記入者1</t>
  </si>
  <si>
    <t>【共有事項】
【メイド・チェッカー】
【営繕】</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</si>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</sst>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95" fillId="0" fontId="51" numFmtId="0" xfId="0" applyAlignment="1" applyBorder="1" applyFont="1">
      <alignment horizontal="center" readingOrder="0"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3069185"/>
        <c:axId val="1485969805"/>
      </c:lineChart>
      <c:catAx>
        <c:axId val="1803069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85969805"/>
      </c:catAx>
      <c:valAx>
        <c:axId val="14859698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306918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32745979"/>
        <c:axId val="1000556233"/>
      </c:lineChart>
      <c:catAx>
        <c:axId val="1332745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0556233"/>
      </c:catAx>
      <c:valAx>
        <c:axId val="10005562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27459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34505084"/>
        <c:axId val="826592535"/>
      </c:lineChart>
      <c:catAx>
        <c:axId val="3345050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6592535"/>
      </c:catAx>
      <c:valAx>
        <c:axId val="8265925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450508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15585337"/>
        <c:axId val="1066496225"/>
      </c:barChart>
      <c:catAx>
        <c:axId val="12155853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6496225"/>
      </c:catAx>
      <c:valAx>
        <c:axId val="10664962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558533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4051777"/>
        <c:axId val="915338711"/>
      </c:lineChart>
      <c:catAx>
        <c:axId val="17340517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5338711"/>
      </c:catAx>
      <c:valAx>
        <c:axId val="9153387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40517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08927066"/>
        <c:axId val="954576073"/>
      </c:barChart>
      <c:catAx>
        <c:axId val="13089270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4576073"/>
      </c:catAx>
      <c:valAx>
        <c:axId val="9545760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892706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drawing" Target="../drawings/drawing1.xm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IFERROR(__xludf.DUMMYFUNCTION("""COMPUTED_VALUE"""),9.0)</f>
        <v>9</v>
      </c>
      <c r="E6" s="18">
        <f>IFERROR(__xludf.DUMMYFUNCTION("""COMPUTED_VALUE"""),46123.0)</f>
        <v>46123</v>
      </c>
      <c r="F6"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6" s="4"/>
      <c r="H6" s="19"/>
      <c r="I6"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IFERROR(__xludf.DUMMYFUNCTION("""COMPUTED_VALUE"""),9.0)</f>
        <v>9</v>
      </c>
      <c r="Q6" s="22">
        <f>IFERROR(__xludf.DUMMYFUNCTION("""COMPUTED_VALUE"""),46123.0)</f>
        <v>46123</v>
      </c>
      <c r="R6"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6" s="20"/>
      <c r="T6" s="20"/>
      <c r="U6"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4" t="str">
        <f>IFERROR(__xludf.DUMMYFUNCTION("""COMPUTED_VALUE"""),"Google")</f>
        <v>Google</v>
      </c>
      <c r="D7" s="4">
        <f>IFERROR(__xludf.DUMMYFUNCTION("""COMPUTED_VALUE"""),5.0)</f>
        <v>5</v>
      </c>
      <c r="E7" s="18">
        <f>IFERROR(__xludf.DUMMYFUNCTION("""COMPUTED_VALUE"""),46123.0)</f>
        <v>46123</v>
      </c>
      <c r="F7"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7" s="4"/>
      <c r="H7" s="4"/>
      <c r="I7"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7" s="4" t="str">
        <f>IFERROR(__xludf.DUMMYFUNCTION("""COMPUTED_VALUE"""),"")</f>
        <v/>
      </c>
      <c r="K7" s="20" t="str">
        <f>IFERROR(__xludf.DUMMYFUNCTION("""COMPUTED_VALUE"""),"")</f>
        <v/>
      </c>
      <c r="L7" s="20" t="str">
        <f>IFERROR(__xludf.DUMMYFUNCTION("""COMPUTED_VALUE"""),"17蕭至君")</f>
        <v>17蕭至君</v>
      </c>
      <c r="N7" s="20" t="b">
        <f>IFERROR(__xludf.DUMMYFUNCTION("""COMPUTED_VALUE"""),FALSE)</f>
        <v>0</v>
      </c>
      <c r="O7" s="20" t="str">
        <f>IFERROR(__xludf.DUMMYFUNCTION("""COMPUTED_VALUE"""),"Google")</f>
        <v>Google</v>
      </c>
      <c r="P7" s="20">
        <f>IFERROR(__xludf.DUMMYFUNCTION("""COMPUTED_VALUE"""),5.0)</f>
        <v>5</v>
      </c>
      <c r="Q7" s="22">
        <f>IFERROR(__xludf.DUMMYFUNCTION("""COMPUTED_VALUE"""),46123.0)</f>
        <v>46123</v>
      </c>
      <c r="R7"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7" s="20"/>
      <c r="T7" s="20"/>
      <c r="U7"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7" s="20" t="str">
        <f>IFERROR(__xludf.DUMMYFUNCTION("""COMPUTED_VALUE"""),"")</f>
        <v/>
      </c>
      <c r="W7" s="20" t="str">
        <f>IFERROR(__xludf.DUMMYFUNCTION("""COMPUTED_VALUE"""),"")</f>
        <v/>
      </c>
      <c r="X7" s="20" t="str">
        <f>IFERROR(__xludf.DUMMYFUNCTION("""COMPUTED_VALUE"""),"17蕭至君")</f>
        <v>17蕭至君</v>
      </c>
    </row>
    <row r="8">
      <c r="B8" s="16" t="b">
        <f>IFERROR(__xludf.DUMMYFUNCTION("""COMPUTED_VALUE"""),FALSE)</f>
        <v>0</v>
      </c>
      <c r="C8" s="4" t="str">
        <f>IFERROR(__xludf.DUMMYFUNCTION("""COMPUTED_VALUE"""),"じゃらん")</f>
        <v>じゃらん</v>
      </c>
      <c r="D8" s="19">
        <f>IFERROR(__xludf.DUMMYFUNCTION("""COMPUTED_VALUE"""),5.0)</f>
        <v>5</v>
      </c>
      <c r="E8" s="18">
        <f>IFERROR(__xludf.DUMMYFUNCTION("""COMPUTED_VALUE"""),46123.0)</f>
        <v>46123</v>
      </c>
      <c r="F8"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8" s="4"/>
      <c r="H8" s="4"/>
      <c r="I8"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8" s="4" t="str">
        <f>IFERROR(__xludf.DUMMYFUNCTION("""COMPUTED_VALUE"""),"")</f>
        <v/>
      </c>
      <c r="K8" s="20" t="str">
        <f>IFERROR(__xludf.DUMMYFUNCTION("""COMPUTED_VALUE"""),"")</f>
        <v/>
      </c>
      <c r="L8" s="20" t="str">
        <f>IFERROR(__xludf.DUMMYFUNCTION("""COMPUTED_VALUE"""),"愛子さん")</f>
        <v>愛子さん</v>
      </c>
      <c r="N8" s="20" t="b">
        <f>IFERROR(__xludf.DUMMYFUNCTION("""COMPUTED_VALUE"""),FALSE)</f>
        <v>0</v>
      </c>
      <c r="O8" s="20" t="str">
        <f>IFERROR(__xludf.DUMMYFUNCTION("""COMPUTED_VALUE"""),"じゃらん")</f>
        <v>じゃらん</v>
      </c>
      <c r="P8" s="20">
        <f>IFERROR(__xludf.DUMMYFUNCTION("""COMPUTED_VALUE"""),5.0)</f>
        <v>5</v>
      </c>
      <c r="Q8" s="22">
        <f>IFERROR(__xludf.DUMMYFUNCTION("""COMPUTED_VALUE"""),46123.0)</f>
        <v>46123</v>
      </c>
      <c r="R8"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8" s="20"/>
      <c r="T8" s="20"/>
      <c r="U8"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8" s="20" t="str">
        <f>IFERROR(__xludf.DUMMYFUNCTION("""COMPUTED_VALUE"""),"")</f>
        <v/>
      </c>
      <c r="W8" s="20" t="str">
        <f>IFERROR(__xludf.DUMMYFUNCTION("""COMPUTED_VALUE"""),"")</f>
        <v/>
      </c>
      <c r="X8" s="20" t="str">
        <f>IFERROR(__xludf.DUMMYFUNCTION("""COMPUTED_VALUE"""),"愛子さん")</f>
        <v>愛子さん</v>
      </c>
    </row>
    <row r="9">
      <c r="B9" s="16" t="b">
        <f>IFERROR(__xludf.DUMMYFUNCTION("""COMPUTED_VALUE"""),FALSE)</f>
        <v>0</v>
      </c>
      <c r="C9" s="4" t="str">
        <f>IFERROR(__xludf.DUMMYFUNCTION("""COMPUTED_VALUE"""),"楽天トラベル")</f>
        <v>楽天トラベル</v>
      </c>
      <c r="D9" s="4">
        <f>IFERROR(__xludf.DUMMYFUNCTION("""COMPUTED_VALUE"""),4.0)</f>
        <v>4</v>
      </c>
      <c r="E9" s="18">
        <f>IFERROR(__xludf.DUMMYFUNCTION("""COMPUTED_VALUE"""),46122.0)</f>
        <v>46122</v>
      </c>
      <c r="F9" s="4" t="str">
        <f>IFERROR(__xludf.DUMMYFUNCTION("""COMPUTED_VALUE"""),"普通に満足です。 接客対応も良いと思います。 子供達は、喜んでいました。")</f>
        <v>普通に満足です。 接客対応も良いと思います。 子供達は、喜んでいました。</v>
      </c>
      <c r="G9" s="4"/>
      <c r="H9" s="4"/>
      <c r="I9" s="4" t="str">
        <f>IFERROR(__xludf.DUMMYFUNCTION("""COMPUTED_VALUE"""),"普通に満足です。 接客対応も良いと思います。 子供達は、喜んでいました。")</f>
        <v>普通に満足です。 接客対応も良いと思います。 子供達は、喜んでいました。</v>
      </c>
      <c r="J9" s="4" t="str">
        <f>IFERROR(__xludf.DUMMYFUNCTION("""COMPUTED_VALUE"""),"")</f>
        <v/>
      </c>
      <c r="K9" s="20" t="str">
        <f>IFERROR(__xludf.DUMMYFUNCTION("""COMPUTED_VALUE"""),"")</f>
        <v/>
      </c>
      <c r="L9" s="20" t="str">
        <f>IFERROR(__xludf.DUMMYFUNCTION("""COMPUTED_VALUE"""),"キャンディー8888")</f>
        <v>キャンディー8888</v>
      </c>
      <c r="N9" s="20" t="b">
        <f>IFERROR(__xludf.DUMMYFUNCTION("""COMPUTED_VALUE"""),FALSE)</f>
        <v>0</v>
      </c>
      <c r="O9" s="20" t="str">
        <f>IFERROR(__xludf.DUMMYFUNCTION("""COMPUTED_VALUE"""),"楽天トラベル")</f>
        <v>楽天トラベル</v>
      </c>
      <c r="P9" s="20">
        <f>IFERROR(__xludf.DUMMYFUNCTION("""COMPUTED_VALUE"""),4.0)</f>
        <v>4</v>
      </c>
      <c r="Q9" s="22">
        <f>IFERROR(__xludf.DUMMYFUNCTION("""COMPUTED_VALUE"""),46122.0)</f>
        <v>46122</v>
      </c>
      <c r="R9" s="20" t="str">
        <f>IFERROR(__xludf.DUMMYFUNCTION("""COMPUTED_VALUE"""),"普通に満足です。 接客対応も良いと思います。 子供達は、喜んでいました。")</f>
        <v>普通に満足です。 接客対応も良いと思います。 子供達は、喜んでいました。</v>
      </c>
      <c r="S9" s="20"/>
      <c r="T9" s="20"/>
      <c r="U9" s="20" t="str">
        <f>IFERROR(__xludf.DUMMYFUNCTION("""COMPUTED_VALUE"""),"普通に満足です。 接客対応も良いと思います。 子供達は、喜んでいました。")</f>
        <v>普通に満足です。 接客対応も良いと思います。 子供達は、喜んでいました。</v>
      </c>
      <c r="V9" s="20" t="str">
        <f>IFERROR(__xludf.DUMMYFUNCTION("""COMPUTED_VALUE"""),"")</f>
        <v/>
      </c>
      <c r="W9" s="20" t="str">
        <f>IFERROR(__xludf.DUMMYFUNCTION("""COMPUTED_VALUE"""),"")</f>
        <v/>
      </c>
      <c r="X9" s="20" t="str">
        <f>IFERROR(__xludf.DUMMYFUNCTION("""COMPUTED_VALUE"""),"キャンディー8888")</f>
        <v>キャンディー8888</v>
      </c>
    </row>
    <row r="10">
      <c r="B10" s="16" t="b">
        <f>IFERROR(__xludf.DUMMYFUNCTION("""COMPUTED_VALUE"""),FALSE)</f>
        <v>0</v>
      </c>
      <c r="C10" s="17" t="str">
        <f>IFERROR(__xludf.DUMMYFUNCTION("""COMPUTED_VALUE"""),"Booking.com")</f>
        <v>Booking.com</v>
      </c>
      <c r="D10" s="4">
        <f>IFERROR(__xludf.DUMMYFUNCTION("""COMPUTED_VALUE"""),8.0)</f>
        <v>8</v>
      </c>
      <c r="E10" s="18">
        <f>IFERROR(__xludf.DUMMYFUNCTION("""COMPUTED_VALUE"""),46122.0)</f>
        <v>46122</v>
      </c>
      <c r="F10" s="4"/>
      <c r="G10" s="4" t="str">
        <f>IFERROR(__xludf.DUMMYFUNCTION("""COMPUTED_VALUE"""),"Beds comfy and big, Lawsons off the lobby, luggage transfer, free disney shuttle.")</f>
        <v>Beds comfy and big, Lawsons off the lobby, luggage transfer, free disney shuttle.</v>
      </c>
      <c r="H10" s="4" t="str">
        <f>IFERROR(__xludf.DUMMYFUNCTION("""COMPUTED_VALUE"""),"Location next time would get place closer to disney or a train station.")</f>
        <v>Location next time would get place closer to disney or a train station.</v>
      </c>
      <c r="I10" s="4" t="str">
        <f>IFERROR(__xludf.DUMMYFUNCTION("""COMPUTED_VALUE"""),"")</f>
        <v/>
      </c>
      <c r="J10"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0" s="20" t="str">
        <f>IFERROR(__xludf.DUMMYFUNCTION("""COMPUTED_VALUE"""),"次回はディズニーワールドか駅に近い場所を選びたい。")</f>
        <v>次回はディズニーワールドか駅に近い場所を選びたい。</v>
      </c>
      <c r="L10" s="20" t="str">
        <f>IFERROR(__xludf.DUMMYFUNCTION("""COMPUTED_VALUE"""),"Philippa")</f>
        <v>Philippa</v>
      </c>
      <c r="N10" s="20" t="b">
        <f>IFERROR(__xludf.DUMMYFUNCTION("""COMPUTED_VALUE"""),FALSE)</f>
        <v>0</v>
      </c>
      <c r="O10" s="21" t="str">
        <f>IFERROR(__xludf.DUMMYFUNCTION("""COMPUTED_VALUE"""),"Booking.com")</f>
        <v>Booking.com</v>
      </c>
      <c r="P10" s="20">
        <f>IFERROR(__xludf.DUMMYFUNCTION("""COMPUTED_VALUE"""),8.0)</f>
        <v>8</v>
      </c>
      <c r="Q10" s="22">
        <f>IFERROR(__xludf.DUMMYFUNCTION("""COMPUTED_VALUE"""),46122.0)</f>
        <v>46122</v>
      </c>
      <c r="R10" s="20"/>
      <c r="S10" s="20" t="str">
        <f>IFERROR(__xludf.DUMMYFUNCTION("""COMPUTED_VALUE"""),"Beds comfy and big, Lawsons off the lobby, luggage transfer, free disney shuttle.")</f>
        <v>Beds comfy and big, Lawsons off the lobby, luggage transfer, free disney shuttle.</v>
      </c>
      <c r="T10" s="20" t="str">
        <f>IFERROR(__xludf.DUMMYFUNCTION("""COMPUTED_VALUE"""),"Location next time would get place closer to disney or a train station.")</f>
        <v>Location next time would get place closer to disney or a train station.</v>
      </c>
      <c r="U10" s="20" t="str">
        <f>IFERROR(__xludf.DUMMYFUNCTION("""COMPUTED_VALUE"""),"")</f>
        <v/>
      </c>
      <c r="V10"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0" s="20" t="str">
        <f>IFERROR(__xludf.DUMMYFUNCTION("""COMPUTED_VALUE"""),"次回はディズニーワールドか駅に近い場所を選びたい。")</f>
        <v>次回はディズニーワールドか駅に近い場所を選びたい。</v>
      </c>
      <c r="X10" s="20" t="str">
        <f>IFERROR(__xludf.DUMMYFUNCTION("""COMPUTED_VALUE"""),"Philippa")</f>
        <v>Philippa</v>
      </c>
    </row>
    <row r="11">
      <c r="B11" s="16" t="b">
        <f>IFERROR(__xludf.DUMMYFUNCTION("""COMPUTED_VALUE"""),FALSE)</f>
        <v>0</v>
      </c>
      <c r="C11" s="4" t="str">
        <f>IFERROR(__xludf.DUMMYFUNCTION("""COMPUTED_VALUE"""),"Google")</f>
        <v>Google</v>
      </c>
      <c r="D11" s="4">
        <f>IFERROR(__xludf.DUMMYFUNCTION("""COMPUTED_VALUE"""),5.0)</f>
        <v>5</v>
      </c>
      <c r="E11" s="18">
        <f>IFERROR(__xludf.DUMMYFUNCTION("""COMPUTED_VALUE"""),46122.0)</f>
        <v>46122</v>
      </c>
      <c r="F11"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1" s="4"/>
      <c r="H11" s="4"/>
      <c r="I11"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1" s="4" t="str">
        <f>IFERROR(__xludf.DUMMYFUNCTION("""COMPUTED_VALUE"""),"")</f>
        <v/>
      </c>
      <c r="K11" s="20" t="str">
        <f>IFERROR(__xludf.DUMMYFUNCTION("""COMPUTED_VALUE"""),"")</f>
        <v/>
      </c>
      <c r="L11" s="20" t="str">
        <f>IFERROR(__xludf.DUMMYFUNCTION("""COMPUTED_VALUE"""),"Amit Shah")</f>
        <v>Amit Shah</v>
      </c>
      <c r="N11" s="20" t="b">
        <f>IFERROR(__xludf.DUMMYFUNCTION("""COMPUTED_VALUE"""),FALSE)</f>
        <v>0</v>
      </c>
      <c r="O11" s="20" t="str">
        <f>IFERROR(__xludf.DUMMYFUNCTION("""COMPUTED_VALUE"""),"Google")</f>
        <v>Google</v>
      </c>
      <c r="P11" s="20">
        <f>IFERROR(__xludf.DUMMYFUNCTION("""COMPUTED_VALUE"""),5.0)</f>
        <v>5</v>
      </c>
      <c r="Q11" s="22">
        <f>IFERROR(__xludf.DUMMYFUNCTION("""COMPUTED_VALUE"""),46122.0)</f>
        <v>46122</v>
      </c>
      <c r="R11"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1" s="20"/>
      <c r="T11" s="20"/>
      <c r="U11"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1" s="20" t="str">
        <f>IFERROR(__xludf.DUMMYFUNCTION("""COMPUTED_VALUE"""),"")</f>
        <v/>
      </c>
      <c r="W11" s="20" t="str">
        <f>IFERROR(__xludf.DUMMYFUNCTION("""COMPUTED_VALUE"""),"")</f>
        <v/>
      </c>
      <c r="X11" s="20" t="str">
        <f>IFERROR(__xludf.DUMMYFUNCTION("""COMPUTED_VALUE"""),"Amit Shah")</f>
        <v>Amit Shah</v>
      </c>
    </row>
    <row r="12">
      <c r="B12" s="16" t="b">
        <f>IFERROR(__xludf.DUMMYFUNCTION("""COMPUTED_VALUE"""),FALSE)</f>
        <v>0</v>
      </c>
      <c r="C12" s="4" t="str">
        <f>IFERROR(__xludf.DUMMYFUNCTION("""COMPUTED_VALUE"""),"楽天トラベル")</f>
        <v>楽天トラベル</v>
      </c>
      <c r="D12" s="4">
        <f>IFERROR(__xludf.DUMMYFUNCTION("""COMPUTED_VALUE"""),5.0)</f>
        <v>5</v>
      </c>
      <c r="E12" s="18">
        <f>IFERROR(__xludf.DUMMYFUNCTION("""COMPUTED_VALUE"""),46122.0)</f>
        <v>46122</v>
      </c>
      <c r="F12"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2" s="4"/>
      <c r="H12" s="4"/>
      <c r="I12"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2" s="4" t="str">
        <f>IFERROR(__xludf.DUMMYFUNCTION("""COMPUTED_VALUE"""),"")</f>
        <v/>
      </c>
      <c r="K12" s="20" t="str">
        <f>IFERROR(__xludf.DUMMYFUNCTION("""COMPUTED_VALUE"""),"")</f>
        <v/>
      </c>
      <c r="L12" s="20" t="str">
        <f>IFERROR(__xludf.DUMMYFUNCTION("""COMPUTED_VALUE"""),"天空地火水")</f>
        <v>天空地火水</v>
      </c>
      <c r="N12" s="20" t="b">
        <f>IFERROR(__xludf.DUMMYFUNCTION("""COMPUTED_VALUE"""),FALSE)</f>
        <v>0</v>
      </c>
      <c r="O12" s="20" t="str">
        <f>IFERROR(__xludf.DUMMYFUNCTION("""COMPUTED_VALUE"""),"楽天トラベル")</f>
        <v>楽天トラベル</v>
      </c>
      <c r="P12" s="20">
        <f>IFERROR(__xludf.DUMMYFUNCTION("""COMPUTED_VALUE"""),5.0)</f>
        <v>5</v>
      </c>
      <c r="Q12" s="22">
        <f>IFERROR(__xludf.DUMMYFUNCTION("""COMPUTED_VALUE"""),46122.0)</f>
        <v>46122</v>
      </c>
      <c r="R12"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2" s="20"/>
      <c r="T12" s="20"/>
      <c r="U12"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2" s="20" t="str">
        <f>IFERROR(__xludf.DUMMYFUNCTION("""COMPUTED_VALUE"""),"")</f>
        <v/>
      </c>
      <c r="W12" s="20" t="str">
        <f>IFERROR(__xludf.DUMMYFUNCTION("""COMPUTED_VALUE"""),"")</f>
        <v/>
      </c>
      <c r="X12" s="20" t="str">
        <f>IFERROR(__xludf.DUMMYFUNCTION("""COMPUTED_VALUE"""),"天空地火水")</f>
        <v>天空地火水</v>
      </c>
    </row>
    <row r="13">
      <c r="B13" s="16" t="b">
        <f>IFERROR(__xludf.DUMMYFUNCTION("""COMPUTED_VALUE"""),FALSE)</f>
        <v>0</v>
      </c>
      <c r="C13" s="4" t="str">
        <f>IFERROR(__xludf.DUMMYFUNCTION("""COMPUTED_VALUE"""),"じゃらん")</f>
        <v>じゃらん</v>
      </c>
      <c r="D13" s="4">
        <f>IFERROR(__xludf.DUMMYFUNCTION("""COMPUTED_VALUE"""),5.0)</f>
        <v>5</v>
      </c>
      <c r="E13" s="18">
        <f>IFERROR(__xludf.DUMMYFUNCTION("""COMPUTED_VALUE"""),46122.0)</f>
        <v>46122</v>
      </c>
      <c r="F13"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3" s="4"/>
      <c r="H13" s="4"/>
      <c r="I13"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3" s="4" t="str">
        <f>IFERROR(__xludf.DUMMYFUNCTION("""COMPUTED_VALUE"""),"")</f>
        <v/>
      </c>
      <c r="K13" s="20" t="str">
        <f>IFERROR(__xludf.DUMMYFUNCTION("""COMPUTED_VALUE"""),"")</f>
        <v/>
      </c>
      <c r="L13" s="20" t="str">
        <f>IFERROR(__xludf.DUMMYFUNCTION("""COMPUTED_VALUE"""),"おたかさん")</f>
        <v>おたかさん</v>
      </c>
      <c r="N13" s="20" t="b">
        <f>IFERROR(__xludf.DUMMYFUNCTION("""COMPUTED_VALUE"""),FALSE)</f>
        <v>0</v>
      </c>
      <c r="O13" s="20" t="str">
        <f>IFERROR(__xludf.DUMMYFUNCTION("""COMPUTED_VALUE"""),"じゃらん")</f>
        <v>じゃらん</v>
      </c>
      <c r="P13" s="20">
        <f>IFERROR(__xludf.DUMMYFUNCTION("""COMPUTED_VALUE"""),5.0)</f>
        <v>5</v>
      </c>
      <c r="Q13" s="22">
        <f>IFERROR(__xludf.DUMMYFUNCTION("""COMPUTED_VALUE"""),46122.0)</f>
        <v>46122</v>
      </c>
      <c r="R13"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3" s="20"/>
      <c r="T13" s="20"/>
      <c r="U13"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3" s="20" t="str">
        <f>IFERROR(__xludf.DUMMYFUNCTION("""COMPUTED_VALUE"""),"")</f>
        <v/>
      </c>
      <c r="W13" s="20" t="str">
        <f>IFERROR(__xludf.DUMMYFUNCTION("""COMPUTED_VALUE"""),"")</f>
        <v/>
      </c>
      <c r="X13" s="20" t="str">
        <f>IFERROR(__xludf.DUMMYFUNCTION("""COMPUTED_VALUE"""),"おたかさん")</f>
        <v>おたかさん</v>
      </c>
    </row>
    <row r="14">
      <c r="B14" s="16" t="b">
        <f>IFERROR(__xludf.DUMMYFUNCTION("""COMPUTED_VALUE"""),FALSE)</f>
        <v>0</v>
      </c>
      <c r="C14" s="4" t="str">
        <f>IFERROR(__xludf.DUMMYFUNCTION("""COMPUTED_VALUE"""),"Google")</f>
        <v>Google</v>
      </c>
      <c r="D14" s="4">
        <f>IFERROR(__xludf.DUMMYFUNCTION("""COMPUTED_VALUE"""),5.0)</f>
        <v>5</v>
      </c>
      <c r="E14" s="18">
        <f>IFERROR(__xludf.DUMMYFUNCTION("""COMPUTED_VALUE"""),46122.0)</f>
        <v>46122</v>
      </c>
      <c r="F14"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14" s="4"/>
      <c r="H14" s="4"/>
      <c r="I14"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4" s="4" t="str">
        <f>IFERROR(__xludf.DUMMYFUNCTION("""COMPUTED_VALUE"""),"")</f>
        <v/>
      </c>
      <c r="K14" s="20" t="str">
        <f>IFERROR(__xludf.DUMMYFUNCTION("""COMPUTED_VALUE"""),"")</f>
        <v/>
      </c>
      <c r="L14" s="20" t="str">
        <f>IFERROR(__xludf.DUMMYFUNCTION("""COMPUTED_VALUE"""),"Amit Shah")</f>
        <v>Amit Shah</v>
      </c>
      <c r="N14" s="20" t="b">
        <f>IFERROR(__xludf.DUMMYFUNCTION("""COMPUTED_VALUE"""),FALSE)</f>
        <v>0</v>
      </c>
      <c r="O14" s="20" t="str">
        <f>IFERROR(__xludf.DUMMYFUNCTION("""COMPUTED_VALUE"""),"Google")</f>
        <v>Google</v>
      </c>
      <c r="P14" s="20">
        <f>IFERROR(__xludf.DUMMYFUNCTION("""COMPUTED_VALUE"""),5.0)</f>
        <v>5</v>
      </c>
      <c r="Q14" s="22">
        <f>IFERROR(__xludf.DUMMYFUNCTION("""COMPUTED_VALUE"""),46122.0)</f>
        <v>46122</v>
      </c>
      <c r="R14"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4" s="20"/>
      <c r="T14" s="20"/>
      <c r="U14"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4" s="20" t="str">
        <f>IFERROR(__xludf.DUMMYFUNCTION("""COMPUTED_VALUE"""),"")</f>
        <v/>
      </c>
      <c r="W14" s="20" t="str">
        <f>IFERROR(__xludf.DUMMYFUNCTION("""COMPUTED_VALUE"""),"")</f>
        <v/>
      </c>
      <c r="X14" s="20" t="str">
        <f>IFERROR(__xludf.DUMMYFUNCTION("""COMPUTED_VALUE"""),"Amit Shah")</f>
        <v>Amit Shah</v>
      </c>
    </row>
    <row r="15">
      <c r="B15" s="16" t="b">
        <f>IFERROR(__xludf.DUMMYFUNCTION("""COMPUTED_VALUE"""),FALSE)</f>
        <v>0</v>
      </c>
      <c r="C15" s="4" t="str">
        <f>IFERROR(__xludf.DUMMYFUNCTION("""COMPUTED_VALUE"""),"楽天トラベル")</f>
        <v>楽天トラベル</v>
      </c>
      <c r="D15" s="4">
        <f>IFERROR(__xludf.DUMMYFUNCTION("""COMPUTED_VALUE"""),5.0)</f>
        <v>5</v>
      </c>
      <c r="E15" s="18">
        <f>IFERROR(__xludf.DUMMYFUNCTION("""COMPUTED_VALUE"""),46121.0)</f>
        <v>46121</v>
      </c>
      <c r="F15"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15" s="4"/>
      <c r="H15" s="4"/>
      <c r="I15"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15" s="4" t="str">
        <f>IFERROR(__xludf.DUMMYFUNCTION("""COMPUTED_VALUE"""),"")</f>
        <v/>
      </c>
      <c r="K15" s="20" t="str">
        <f>IFERROR(__xludf.DUMMYFUNCTION("""COMPUTED_VALUE"""),"")</f>
        <v/>
      </c>
      <c r="L15" s="20" t="str">
        <f>IFERROR(__xludf.DUMMYFUNCTION("""COMPUTED_VALUE"""),"しばにゃん0205")</f>
        <v>しばにゃん0205</v>
      </c>
      <c r="N15" s="20" t="b">
        <f>IFERROR(__xludf.DUMMYFUNCTION("""COMPUTED_VALUE"""),FALSE)</f>
        <v>0</v>
      </c>
      <c r="O15" s="20" t="str">
        <f>IFERROR(__xludf.DUMMYFUNCTION("""COMPUTED_VALUE"""),"楽天トラベル")</f>
        <v>楽天トラベル</v>
      </c>
      <c r="P15" s="20">
        <f>IFERROR(__xludf.DUMMYFUNCTION("""COMPUTED_VALUE"""),5.0)</f>
        <v>5</v>
      </c>
      <c r="Q15" s="22">
        <f>IFERROR(__xludf.DUMMYFUNCTION("""COMPUTED_VALUE"""),46121.0)</f>
        <v>46121</v>
      </c>
      <c r="R15"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15" s="20"/>
      <c r="T15" s="20"/>
      <c r="U15"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15" s="20" t="str">
        <f>IFERROR(__xludf.DUMMYFUNCTION("""COMPUTED_VALUE"""),"")</f>
        <v/>
      </c>
      <c r="W15" s="20" t="str">
        <f>IFERROR(__xludf.DUMMYFUNCTION("""COMPUTED_VALUE"""),"")</f>
        <v/>
      </c>
      <c r="X15" s="20" t="str">
        <f>IFERROR(__xludf.DUMMYFUNCTION("""COMPUTED_VALUE"""),"しばにゃん0205")</f>
        <v>しばにゃん0205</v>
      </c>
    </row>
    <row r="16">
      <c r="B16" s="16" t="b">
        <f>IFERROR(__xludf.DUMMYFUNCTION("""COMPUTED_VALUE"""),FALSE)</f>
        <v>0</v>
      </c>
      <c r="C16" s="4" t="str">
        <f>IFERROR(__xludf.DUMMYFUNCTION("""COMPUTED_VALUE"""),"楽天トラベル")</f>
        <v>楽天トラベル</v>
      </c>
      <c r="D16" s="4">
        <f>IFERROR(__xludf.DUMMYFUNCTION("""COMPUTED_VALUE"""),5.0)</f>
        <v>5</v>
      </c>
      <c r="E16" s="18">
        <f>IFERROR(__xludf.DUMMYFUNCTION("""COMPUTED_VALUE"""),46121.0)</f>
        <v>46121</v>
      </c>
      <c r="F16"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16" s="4"/>
      <c r="H16" s="4"/>
      <c r="I16"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16" s="4" t="str">
        <f>IFERROR(__xludf.DUMMYFUNCTION("""COMPUTED_VALUE"""),"")</f>
        <v/>
      </c>
      <c r="K16" s="20" t="str">
        <f>IFERROR(__xludf.DUMMYFUNCTION("""COMPUTED_VALUE"""),"")</f>
        <v/>
      </c>
      <c r="L16" s="20" t="str">
        <f>IFERROR(__xludf.DUMMYFUNCTION("""COMPUTED_VALUE"""),"みきちきち")</f>
        <v>みきちきち</v>
      </c>
      <c r="N16" s="20" t="b">
        <f>IFERROR(__xludf.DUMMYFUNCTION("""COMPUTED_VALUE"""),FALSE)</f>
        <v>0</v>
      </c>
      <c r="O16" s="20" t="str">
        <f>IFERROR(__xludf.DUMMYFUNCTION("""COMPUTED_VALUE"""),"楽天トラベル")</f>
        <v>楽天トラベル</v>
      </c>
      <c r="P16" s="20">
        <f>IFERROR(__xludf.DUMMYFUNCTION("""COMPUTED_VALUE"""),5.0)</f>
        <v>5</v>
      </c>
      <c r="Q16" s="22">
        <f>IFERROR(__xludf.DUMMYFUNCTION("""COMPUTED_VALUE"""),46121.0)</f>
        <v>46121</v>
      </c>
      <c r="R16"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16" s="20"/>
      <c r="T16" s="20"/>
      <c r="U16"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16" s="20" t="str">
        <f>IFERROR(__xludf.DUMMYFUNCTION("""COMPUTED_VALUE"""),"")</f>
        <v/>
      </c>
      <c r="W16" s="20" t="str">
        <f>IFERROR(__xludf.DUMMYFUNCTION("""COMPUTED_VALUE"""),"")</f>
        <v/>
      </c>
      <c r="X16" s="20" t="str">
        <f>IFERROR(__xludf.DUMMYFUNCTION("""COMPUTED_VALUE"""),"みきちきち")</f>
        <v>みきちきち</v>
      </c>
    </row>
    <row r="17">
      <c r="B17" s="16" t="b">
        <f>IFERROR(__xludf.DUMMYFUNCTION("""COMPUTED_VALUE"""),FALSE)</f>
        <v>0</v>
      </c>
      <c r="C17" s="4" t="str">
        <f>IFERROR(__xludf.DUMMYFUNCTION("""COMPUTED_VALUE"""),"楽天トラベル")</f>
        <v>楽天トラベル</v>
      </c>
      <c r="D17" s="4">
        <f>IFERROR(__xludf.DUMMYFUNCTION("""COMPUTED_VALUE"""),5.0)</f>
        <v>5</v>
      </c>
      <c r="E17" s="18">
        <f>IFERROR(__xludf.DUMMYFUNCTION("""COMPUTED_VALUE"""),46121.0)</f>
        <v>46121</v>
      </c>
      <c r="F17"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17" s="4"/>
      <c r="H17" s="4"/>
      <c r="I17"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17" s="4" t="str">
        <f>IFERROR(__xludf.DUMMYFUNCTION("""COMPUTED_VALUE"""),"")</f>
        <v/>
      </c>
      <c r="K17" s="20" t="str">
        <f>IFERROR(__xludf.DUMMYFUNCTION("""COMPUTED_VALUE"""),"")</f>
        <v/>
      </c>
      <c r="L17" s="20" t="str">
        <f>IFERROR(__xludf.DUMMYFUNCTION("""COMPUTED_VALUE"""),"vあんこもちv")</f>
        <v>vあんこもちv</v>
      </c>
      <c r="N17" s="20" t="b">
        <f>IFERROR(__xludf.DUMMYFUNCTION("""COMPUTED_VALUE"""),FALSE)</f>
        <v>0</v>
      </c>
      <c r="O17" s="20" t="str">
        <f>IFERROR(__xludf.DUMMYFUNCTION("""COMPUTED_VALUE"""),"楽天トラベル")</f>
        <v>楽天トラベル</v>
      </c>
      <c r="P17" s="20">
        <f>IFERROR(__xludf.DUMMYFUNCTION("""COMPUTED_VALUE"""),5.0)</f>
        <v>5</v>
      </c>
      <c r="Q17" s="22">
        <f>IFERROR(__xludf.DUMMYFUNCTION("""COMPUTED_VALUE"""),46121.0)</f>
        <v>46121</v>
      </c>
      <c r="R17"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17" s="20"/>
      <c r="T17" s="20"/>
      <c r="U17"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17" s="20" t="str">
        <f>IFERROR(__xludf.DUMMYFUNCTION("""COMPUTED_VALUE"""),"")</f>
        <v/>
      </c>
      <c r="W17" s="20" t="str">
        <f>IFERROR(__xludf.DUMMYFUNCTION("""COMPUTED_VALUE"""),"")</f>
        <v/>
      </c>
      <c r="X17" s="20" t="str">
        <f>IFERROR(__xludf.DUMMYFUNCTION("""COMPUTED_VALUE"""),"vあんこもちv")</f>
        <v>vあんこもちv</v>
      </c>
    </row>
    <row r="18">
      <c r="B18" s="16" t="b">
        <f>IFERROR(__xludf.DUMMYFUNCTION("""COMPUTED_VALUE"""),FALSE)</f>
        <v>0</v>
      </c>
      <c r="C18" s="4" t="str">
        <f>IFERROR(__xludf.DUMMYFUNCTION("""COMPUTED_VALUE"""),"楽天トラベル")</f>
        <v>楽天トラベル</v>
      </c>
      <c r="D18" s="4">
        <f>IFERROR(__xludf.DUMMYFUNCTION("""COMPUTED_VALUE"""),4.0)</f>
        <v>4</v>
      </c>
      <c r="E18" s="18">
        <f>IFERROR(__xludf.DUMMYFUNCTION("""COMPUTED_VALUE"""),46121.0)</f>
        <v>46121</v>
      </c>
      <c r="F18"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18" s="4"/>
      <c r="H18" s="4"/>
      <c r="I18"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18" s="4" t="str">
        <f>IFERROR(__xludf.DUMMYFUNCTION("""COMPUTED_VALUE"""),"")</f>
        <v/>
      </c>
      <c r="K18" s="20" t="str">
        <f>IFERROR(__xludf.DUMMYFUNCTION("""COMPUTED_VALUE"""),"")</f>
        <v/>
      </c>
      <c r="L18" s="20" t="str">
        <f>IFERROR(__xludf.DUMMYFUNCTION("""COMPUTED_VALUE"""),"yukiko39942002")</f>
        <v>yukiko39942002</v>
      </c>
      <c r="N18" s="20" t="b">
        <f>IFERROR(__xludf.DUMMYFUNCTION("""COMPUTED_VALUE"""),FALSE)</f>
        <v>0</v>
      </c>
      <c r="O18" s="20" t="str">
        <f>IFERROR(__xludf.DUMMYFUNCTION("""COMPUTED_VALUE"""),"楽天トラベル")</f>
        <v>楽天トラベル</v>
      </c>
      <c r="P18" s="20">
        <f>IFERROR(__xludf.DUMMYFUNCTION("""COMPUTED_VALUE"""),4.0)</f>
        <v>4</v>
      </c>
      <c r="Q18" s="22">
        <f>IFERROR(__xludf.DUMMYFUNCTION("""COMPUTED_VALUE"""),46121.0)</f>
        <v>46121</v>
      </c>
      <c r="R18"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18" s="20"/>
      <c r="T18" s="20"/>
      <c r="U18"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18" s="20" t="str">
        <f>IFERROR(__xludf.DUMMYFUNCTION("""COMPUTED_VALUE"""),"")</f>
        <v/>
      </c>
      <c r="W18" s="20" t="str">
        <f>IFERROR(__xludf.DUMMYFUNCTION("""COMPUTED_VALUE"""),"")</f>
        <v/>
      </c>
      <c r="X18" s="20" t="str">
        <f>IFERROR(__xludf.DUMMYFUNCTION("""COMPUTED_VALUE"""),"yukiko39942002")</f>
        <v>yukiko39942002</v>
      </c>
    </row>
    <row r="19">
      <c r="B19" s="16" t="b">
        <f>IFERROR(__xludf.DUMMYFUNCTION("""COMPUTED_VALUE"""),FALSE)</f>
        <v>0</v>
      </c>
      <c r="C19" s="4" t="str">
        <f>IFERROR(__xludf.DUMMYFUNCTION("""COMPUTED_VALUE"""),"楽天トラベル")</f>
        <v>楽天トラベル</v>
      </c>
      <c r="D19" s="4">
        <f>IFERROR(__xludf.DUMMYFUNCTION("""COMPUTED_VALUE"""),5.0)</f>
        <v>5</v>
      </c>
      <c r="E19" s="18">
        <f>IFERROR(__xludf.DUMMYFUNCTION("""COMPUTED_VALUE"""),46121.0)</f>
        <v>46121</v>
      </c>
      <c r="F19" s="4" t="str">
        <f>IFERROR(__xludf.DUMMYFUNCTION("""COMPUTED_VALUE"""),"スーツケースふたつ広げてもまだまだ余裕あるくらい広くて感動しました！超快適")</f>
        <v>スーツケースふたつ広げてもまだまだ余裕あるくらい広くて感動しました！超快適</v>
      </c>
      <c r="G19" s="4"/>
      <c r="H19" s="4"/>
      <c r="I19" s="4" t="str">
        <f>IFERROR(__xludf.DUMMYFUNCTION("""COMPUTED_VALUE"""),"スーツケースふたつ広げてもまだまだ余裕あるくらい広くて感動しました！超快適")</f>
        <v>スーツケースふたつ広げてもまだまだ余裕あるくらい広くて感動しました！超快適</v>
      </c>
      <c r="J19" s="4" t="str">
        <f>IFERROR(__xludf.DUMMYFUNCTION("""COMPUTED_VALUE"""),"")</f>
        <v/>
      </c>
      <c r="K19" s="20" t="str">
        <f>IFERROR(__xludf.DUMMYFUNCTION("""COMPUTED_VALUE"""),"")</f>
        <v/>
      </c>
      <c r="L19" s="20" t="str">
        <f>IFERROR(__xludf.DUMMYFUNCTION("""COMPUTED_VALUE"""),"はのんさん")</f>
        <v>はのんさん</v>
      </c>
      <c r="N19" s="20" t="b">
        <f>IFERROR(__xludf.DUMMYFUNCTION("""COMPUTED_VALUE"""),FALSE)</f>
        <v>0</v>
      </c>
      <c r="O19" s="20" t="str">
        <f>IFERROR(__xludf.DUMMYFUNCTION("""COMPUTED_VALUE"""),"楽天トラベル")</f>
        <v>楽天トラベル</v>
      </c>
      <c r="P19" s="20">
        <f>IFERROR(__xludf.DUMMYFUNCTION("""COMPUTED_VALUE"""),5.0)</f>
        <v>5</v>
      </c>
      <c r="Q19" s="22">
        <f>IFERROR(__xludf.DUMMYFUNCTION("""COMPUTED_VALUE"""),46121.0)</f>
        <v>46121</v>
      </c>
      <c r="R19" s="20" t="str">
        <f>IFERROR(__xludf.DUMMYFUNCTION("""COMPUTED_VALUE"""),"スーツケースふたつ広げてもまだまだ余裕あるくらい広くて感動しました！超快適")</f>
        <v>スーツケースふたつ広げてもまだまだ余裕あるくらい広くて感動しました！超快適</v>
      </c>
      <c r="S19" s="20"/>
      <c r="T19" s="20"/>
      <c r="U19" s="20" t="str">
        <f>IFERROR(__xludf.DUMMYFUNCTION("""COMPUTED_VALUE"""),"スーツケースふたつ広げてもまだまだ余裕あるくらい広くて感動しました！超快適")</f>
        <v>スーツケースふたつ広げてもまだまだ余裕あるくらい広くて感動しました！超快適</v>
      </c>
      <c r="V19" s="20" t="str">
        <f>IFERROR(__xludf.DUMMYFUNCTION("""COMPUTED_VALUE"""),"")</f>
        <v/>
      </c>
      <c r="W19" s="20" t="str">
        <f>IFERROR(__xludf.DUMMYFUNCTION("""COMPUTED_VALUE"""),"")</f>
        <v/>
      </c>
      <c r="X19" s="20" t="str">
        <f>IFERROR(__xludf.DUMMYFUNCTION("""COMPUTED_VALUE"""),"はのんさん")</f>
        <v>はのんさん</v>
      </c>
    </row>
    <row r="20">
      <c r="B20" s="16" t="b">
        <f>IFERROR(__xludf.DUMMYFUNCTION("""COMPUTED_VALUE"""),FALSE)</f>
        <v>0</v>
      </c>
      <c r="C20" s="4" t="str">
        <f>IFERROR(__xludf.DUMMYFUNCTION("""COMPUTED_VALUE"""),"楽天トラベル")</f>
        <v>楽天トラベル</v>
      </c>
      <c r="D20" s="4">
        <f>IFERROR(__xludf.DUMMYFUNCTION("""COMPUTED_VALUE"""),5.0)</f>
        <v>5</v>
      </c>
      <c r="E20" s="18">
        <f>IFERROR(__xludf.DUMMYFUNCTION("""COMPUTED_VALUE"""),46120.0)</f>
        <v>46120</v>
      </c>
      <c r="F20"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20" s="4"/>
      <c r="H20" s="4"/>
      <c r="I20"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20" s="4" t="str">
        <f>IFERROR(__xludf.DUMMYFUNCTION("""COMPUTED_VALUE"""),"")</f>
        <v/>
      </c>
      <c r="K20" s="20" t="str">
        <f>IFERROR(__xludf.DUMMYFUNCTION("""COMPUTED_VALUE"""),"")</f>
        <v/>
      </c>
      <c r="L20" s="20" t="str">
        <f>IFERROR(__xludf.DUMMYFUNCTION("""COMPUTED_VALUE"""),"あおなおぽけ")</f>
        <v>あおなおぽけ</v>
      </c>
      <c r="N20" s="20" t="b">
        <f>IFERROR(__xludf.DUMMYFUNCTION("""COMPUTED_VALUE"""),FALSE)</f>
        <v>0</v>
      </c>
      <c r="O20" s="20" t="str">
        <f>IFERROR(__xludf.DUMMYFUNCTION("""COMPUTED_VALUE"""),"楽天トラベル")</f>
        <v>楽天トラベル</v>
      </c>
      <c r="P20" s="20">
        <f>IFERROR(__xludf.DUMMYFUNCTION("""COMPUTED_VALUE"""),5.0)</f>
        <v>5</v>
      </c>
      <c r="Q20" s="22">
        <f>IFERROR(__xludf.DUMMYFUNCTION("""COMPUTED_VALUE"""),46120.0)</f>
        <v>46120</v>
      </c>
      <c r="R20"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20" s="20"/>
      <c r="T20" s="20"/>
      <c r="U20"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20" s="20" t="str">
        <f>IFERROR(__xludf.DUMMYFUNCTION("""COMPUTED_VALUE"""),"")</f>
        <v/>
      </c>
      <c r="W20" s="20" t="str">
        <f>IFERROR(__xludf.DUMMYFUNCTION("""COMPUTED_VALUE"""),"")</f>
        <v/>
      </c>
      <c r="X20" s="20" t="str">
        <f>IFERROR(__xludf.DUMMYFUNCTION("""COMPUTED_VALUE"""),"あおなおぽけ")</f>
        <v>あおなおぽけ</v>
      </c>
    </row>
    <row r="21">
      <c r="B21" s="16" t="b">
        <f>IFERROR(__xludf.DUMMYFUNCTION("""COMPUTED_VALUE"""),FALSE)</f>
        <v>0</v>
      </c>
      <c r="C21" s="4" t="str">
        <f>IFERROR(__xludf.DUMMYFUNCTION("""COMPUTED_VALUE"""),"楽天トラベル")</f>
        <v>楽天トラベル</v>
      </c>
      <c r="D21" s="4">
        <f>IFERROR(__xludf.DUMMYFUNCTION("""COMPUTED_VALUE"""),5.0)</f>
        <v>5</v>
      </c>
      <c r="E21" s="18">
        <f>IFERROR(__xludf.DUMMYFUNCTION("""COMPUTED_VALUE"""),46120.0)</f>
        <v>46120</v>
      </c>
      <c r="F21"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21" s="4"/>
      <c r="H21" s="4"/>
      <c r="I21"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21" s="4" t="str">
        <f>IFERROR(__xludf.DUMMYFUNCTION("""COMPUTED_VALUE"""),"")</f>
        <v/>
      </c>
      <c r="K21" s="20" t="str">
        <f>IFERROR(__xludf.DUMMYFUNCTION("""COMPUTED_VALUE"""),"")</f>
        <v/>
      </c>
      <c r="L21" s="20" t="str">
        <f>IFERROR(__xludf.DUMMYFUNCTION("""COMPUTED_VALUE"""),"mi___")</f>
        <v>mi___</v>
      </c>
      <c r="N21" s="20" t="b">
        <f>IFERROR(__xludf.DUMMYFUNCTION("""COMPUTED_VALUE"""),FALSE)</f>
        <v>0</v>
      </c>
      <c r="O21" s="20" t="str">
        <f>IFERROR(__xludf.DUMMYFUNCTION("""COMPUTED_VALUE"""),"楽天トラベル")</f>
        <v>楽天トラベル</v>
      </c>
      <c r="P21" s="20">
        <f>IFERROR(__xludf.DUMMYFUNCTION("""COMPUTED_VALUE"""),5.0)</f>
        <v>5</v>
      </c>
      <c r="Q21" s="22">
        <f>IFERROR(__xludf.DUMMYFUNCTION("""COMPUTED_VALUE"""),46120.0)</f>
        <v>46120</v>
      </c>
      <c r="R21"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21" s="20"/>
      <c r="T21" s="20"/>
      <c r="U21"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21" s="20" t="str">
        <f>IFERROR(__xludf.DUMMYFUNCTION("""COMPUTED_VALUE"""),"")</f>
        <v/>
      </c>
      <c r="W21" s="20" t="str">
        <f>IFERROR(__xludf.DUMMYFUNCTION("""COMPUTED_VALUE"""),"")</f>
        <v/>
      </c>
      <c r="X21" s="20" t="str">
        <f>IFERROR(__xludf.DUMMYFUNCTION("""COMPUTED_VALUE"""),"mi___")</f>
        <v>mi___</v>
      </c>
    </row>
    <row r="22">
      <c r="B22" s="16" t="b">
        <f>IFERROR(__xludf.DUMMYFUNCTION("""COMPUTED_VALUE"""),FALSE)</f>
        <v>0</v>
      </c>
      <c r="C22" s="17" t="str">
        <f>IFERROR(__xludf.DUMMYFUNCTION("""COMPUTED_VALUE"""),"Trip.com")</f>
        <v>Trip.com</v>
      </c>
      <c r="D22" s="4">
        <f>IFERROR(__xludf.DUMMYFUNCTION("""COMPUTED_VALUE"""),7.0)</f>
        <v>7</v>
      </c>
      <c r="E22" s="18">
        <f>IFERROR(__xludf.DUMMYFUNCTION("""COMPUTED_VALUE"""),46120.0)</f>
        <v>46120</v>
      </c>
      <c r="F22"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22" s="4"/>
      <c r="H22" s="4"/>
      <c r="I22"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22" s="4" t="str">
        <f>IFERROR(__xludf.DUMMYFUNCTION("""COMPUTED_VALUE"""),"")</f>
        <v/>
      </c>
      <c r="K22" s="20" t="str">
        <f>IFERROR(__xludf.DUMMYFUNCTION("""COMPUTED_VALUE"""),"")</f>
        <v/>
      </c>
      <c r="L22" s="20" t="str">
        <f>IFERROR(__xludf.DUMMYFUNCTION("""COMPUTED_VALUE"""),"ゲ‍ス‍ト")</f>
        <v>ゲ‍ス‍ト</v>
      </c>
      <c r="N22" s="20" t="b">
        <f>IFERROR(__xludf.DUMMYFUNCTION("""COMPUTED_VALUE"""),FALSE)</f>
        <v>0</v>
      </c>
      <c r="O22" s="21" t="str">
        <f>IFERROR(__xludf.DUMMYFUNCTION("""COMPUTED_VALUE"""),"Trip.com")</f>
        <v>Trip.com</v>
      </c>
      <c r="P22" s="20">
        <f>IFERROR(__xludf.DUMMYFUNCTION("""COMPUTED_VALUE"""),7.0)</f>
        <v>7</v>
      </c>
      <c r="Q22" s="22">
        <f>IFERROR(__xludf.DUMMYFUNCTION("""COMPUTED_VALUE"""),46120.0)</f>
        <v>46120</v>
      </c>
      <c r="R22"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22" s="20"/>
      <c r="T22" s="20"/>
      <c r="U22"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22" s="20" t="str">
        <f>IFERROR(__xludf.DUMMYFUNCTION("""COMPUTED_VALUE"""),"")</f>
        <v/>
      </c>
      <c r="W22" s="20" t="str">
        <f>IFERROR(__xludf.DUMMYFUNCTION("""COMPUTED_VALUE"""),"")</f>
        <v/>
      </c>
      <c r="X22" s="20" t="str">
        <f>IFERROR(__xludf.DUMMYFUNCTION("""COMPUTED_VALUE"""),"ゲ‍ス‍ト")</f>
        <v>ゲ‍ス‍ト</v>
      </c>
    </row>
    <row r="23">
      <c r="B23" s="16" t="b">
        <f>IFERROR(__xludf.DUMMYFUNCTION("""COMPUTED_VALUE"""),FALSE)</f>
        <v>0</v>
      </c>
      <c r="C23" s="17" t="str">
        <f>IFERROR(__xludf.DUMMYFUNCTION("""COMPUTED_VALUE"""),"Trip.com")</f>
        <v>Trip.com</v>
      </c>
      <c r="D23" s="4">
        <f>IFERROR(__xludf.DUMMYFUNCTION("""COMPUTED_VALUE"""),9.0)</f>
        <v>9</v>
      </c>
      <c r="E23" s="18">
        <f>IFERROR(__xludf.DUMMYFUNCTION("""COMPUTED_VALUE"""),46120.0)</f>
        <v>46120</v>
      </c>
      <c r="F23" s="4" t="str">
        <f>IFERROR(__xludf.DUMMYFUNCTION("""COMPUTED_VALUE"""),"お部屋が広く、お風呂が洗い場付きで清潔で良かったです")</f>
        <v>お部屋が広く、お風呂が洗い場付きで清潔で良かったです</v>
      </c>
      <c r="G23" s="4"/>
      <c r="H23" s="4"/>
      <c r="I23" s="4" t="str">
        <f>IFERROR(__xludf.DUMMYFUNCTION("""COMPUTED_VALUE"""),"お部屋が広く、お風呂が洗い場付きで清潔で良かったです")</f>
        <v>お部屋が広く、お風呂が洗い場付きで清潔で良かったです</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IFERROR(__xludf.DUMMYFUNCTION("""COMPUTED_VALUE"""),9.0)</f>
        <v>9</v>
      </c>
      <c r="Q23" s="22">
        <f>IFERROR(__xludf.DUMMYFUNCTION("""COMPUTED_VALUE"""),46120.0)</f>
        <v>46120</v>
      </c>
      <c r="R23" s="20" t="str">
        <f>IFERROR(__xludf.DUMMYFUNCTION("""COMPUTED_VALUE"""),"お部屋が広く、お風呂が洗い場付きで清潔で良かったです")</f>
        <v>お部屋が広く、お風呂が洗い場付きで清潔で良かったです</v>
      </c>
      <c r="S23" s="20"/>
      <c r="T23" s="20"/>
      <c r="U23" s="20" t="str">
        <f>IFERROR(__xludf.DUMMYFUNCTION("""COMPUTED_VALUE"""),"お部屋が広く、お風呂が洗い場付きで清潔で良かったです")</f>
        <v>お部屋が広く、お風呂が洗い場付きで清潔で良かったです</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4" t="str">
        <f>IFERROR(__xludf.DUMMYFUNCTION("""COMPUTED_VALUE"""),"Google")</f>
        <v>Google</v>
      </c>
      <c r="D24" s="4">
        <f>IFERROR(__xludf.DUMMYFUNCTION("""COMPUTED_VALUE"""),2.0)</f>
        <v>2</v>
      </c>
      <c r="E24" s="18">
        <f>IFERROR(__xludf.DUMMYFUNCTION("""COMPUTED_VALUE"""),46120.0)</f>
        <v>46120</v>
      </c>
      <c r="F24"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24" s="4"/>
      <c r="H24" s="4"/>
      <c r="I24" s="4"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24" s="4" t="str">
        <f>IFERROR(__xludf.DUMMYFUNCTION("""COMPUTED_VALUE"""),"")</f>
        <v/>
      </c>
      <c r="K24" s="20" t="str">
        <f>IFERROR(__xludf.DUMMYFUNCTION("""COMPUTED_VALUE"""),"")</f>
        <v/>
      </c>
      <c r="L24" s="20" t="str">
        <f>IFERROR(__xludf.DUMMYFUNCTION("""COMPUTED_VALUE"""),"Simon Mackenzie (Floorsnake)")</f>
        <v>Simon Mackenzie (Floorsnake)</v>
      </c>
      <c r="N24" s="20" t="b">
        <f>IFERROR(__xludf.DUMMYFUNCTION("""COMPUTED_VALUE"""),FALSE)</f>
        <v>0</v>
      </c>
      <c r="O24" s="20" t="str">
        <f>IFERROR(__xludf.DUMMYFUNCTION("""COMPUTED_VALUE"""),"Google")</f>
        <v>Google</v>
      </c>
      <c r="P24" s="20">
        <f>IFERROR(__xludf.DUMMYFUNCTION("""COMPUTED_VALUE"""),2.0)</f>
        <v>2</v>
      </c>
      <c r="Q24" s="22">
        <f>IFERROR(__xludf.DUMMYFUNCTION("""COMPUTED_VALUE"""),46120.0)</f>
        <v>46120</v>
      </c>
      <c r="R24"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24" s="20"/>
      <c r="T24" s="20"/>
      <c r="U24" s="20"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24" s="20" t="str">
        <f>IFERROR(__xludf.DUMMYFUNCTION("""COMPUTED_VALUE"""),"")</f>
        <v/>
      </c>
      <c r="W24" s="20" t="str">
        <f>IFERROR(__xludf.DUMMYFUNCTION("""COMPUTED_VALUE"""),"")</f>
        <v/>
      </c>
      <c r="X24" s="20" t="str">
        <f>IFERROR(__xludf.DUMMYFUNCTION("""COMPUTED_VALUE"""),"Simon Mackenzie (Floorsnake)")</f>
        <v>Simon Mackenzie (Floorsnake)</v>
      </c>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IFERROR(__xludf.DUMMYFUNCTION("""COMPUTED_VALUE"""),46120.0)</f>
        <v>46120</v>
      </c>
      <c r="F25"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25" s="4"/>
      <c r="H25" s="4"/>
      <c r="I25"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25" s="4" t="str">
        <f>IFERROR(__xludf.DUMMYFUNCTION("""COMPUTED_VALUE"""),"")</f>
        <v/>
      </c>
      <c r="K25" s="20" t="str">
        <f>IFERROR(__xludf.DUMMYFUNCTION("""COMPUTED_VALUE"""),"")</f>
        <v/>
      </c>
      <c r="L25" s="20" t="str">
        <f>IFERROR(__xludf.DUMMYFUNCTION("""COMPUTED_VALUE"""),"ゲ‍ス‍ト")</f>
        <v>ゲ‍ス‍ト</v>
      </c>
      <c r="N25" s="20" t="b">
        <f>IFERROR(__xludf.DUMMYFUNCTION("""COMPUTED_VALUE"""),FALSE)</f>
        <v>0</v>
      </c>
      <c r="O25" s="21" t="str">
        <f>IFERROR(__xludf.DUMMYFUNCTION("""COMPUTED_VALUE"""),"Trip.com")</f>
        <v>Trip.com</v>
      </c>
      <c r="P25" s="20">
        <f>IFERROR(__xludf.DUMMYFUNCTION("""COMPUTED_VALUE"""),10.0)</f>
        <v>10</v>
      </c>
      <c r="Q25" s="22">
        <f>IFERROR(__xludf.DUMMYFUNCTION("""COMPUTED_VALUE"""),46120.0)</f>
        <v>46120</v>
      </c>
      <c r="R25"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25" s="20"/>
      <c r="T25" s="20"/>
      <c r="U25"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25" s="20" t="str">
        <f>IFERROR(__xludf.DUMMYFUNCTION("""COMPUTED_VALUE"""),"")</f>
        <v/>
      </c>
      <c r="W25" s="20" t="str">
        <f>IFERROR(__xludf.DUMMYFUNCTION("""COMPUTED_VALUE"""),"")</f>
        <v/>
      </c>
      <c r="X25" s="20" t="str">
        <f>IFERROR(__xludf.DUMMYFUNCTION("""COMPUTED_VALUE"""),"ゲ‍ス‍ト")</f>
        <v>ゲ‍ス‍ト</v>
      </c>
    </row>
    <row r="26">
      <c r="B26" s="16" t="b">
        <f>IFERROR(__xludf.DUMMYFUNCTION("""COMPUTED_VALUE"""),FALSE)</f>
        <v>0</v>
      </c>
      <c r="C26" s="4" t="str">
        <f>IFERROR(__xludf.DUMMYFUNCTION("""COMPUTED_VALUE"""),"Google")</f>
        <v>Google</v>
      </c>
      <c r="D26" s="4">
        <f>IFERROR(__xludf.DUMMYFUNCTION("""COMPUTED_VALUE"""),2.0)</f>
        <v>2</v>
      </c>
      <c r="E26" s="18">
        <f>IFERROR(__xludf.DUMMYFUNCTION("""COMPUTED_VALUE"""),46120.0)</f>
        <v>46120</v>
      </c>
      <c r="F26"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26" s="4"/>
      <c r="H26" s="4"/>
      <c r="I26"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26" s="4" t="str">
        <f>IFERROR(__xludf.DUMMYFUNCTION("""COMPUTED_VALUE"""),"")</f>
        <v/>
      </c>
      <c r="K26" s="20" t="str">
        <f>IFERROR(__xludf.DUMMYFUNCTION("""COMPUTED_VALUE"""),"")</f>
        <v/>
      </c>
      <c r="L26" s="20" t="str">
        <f>IFERROR(__xludf.DUMMYFUNCTION("""COMPUTED_VALUE"""),"Simon Mackenzie (Floorsnake)")</f>
        <v>Simon Mackenzie (Floorsnake)</v>
      </c>
      <c r="N26" s="20" t="b">
        <f>IFERROR(__xludf.DUMMYFUNCTION("""COMPUTED_VALUE"""),FALSE)</f>
        <v>0</v>
      </c>
      <c r="O26" s="20" t="str">
        <f>IFERROR(__xludf.DUMMYFUNCTION("""COMPUTED_VALUE"""),"Google")</f>
        <v>Google</v>
      </c>
      <c r="P26" s="20">
        <f>IFERROR(__xludf.DUMMYFUNCTION("""COMPUTED_VALUE"""),2.0)</f>
        <v>2</v>
      </c>
      <c r="Q26" s="22">
        <f>IFERROR(__xludf.DUMMYFUNCTION("""COMPUTED_VALUE"""),46120.0)</f>
        <v>46120</v>
      </c>
      <c r="R26"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26" s="20"/>
      <c r="T26" s="20"/>
      <c r="U26"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26" s="20" t="str">
        <f>IFERROR(__xludf.DUMMYFUNCTION("""COMPUTED_VALUE"""),"")</f>
        <v/>
      </c>
      <c r="W26" s="20" t="str">
        <f>IFERROR(__xludf.DUMMYFUNCTION("""COMPUTED_VALUE"""),"")</f>
        <v/>
      </c>
      <c r="X26" s="20" t="str">
        <f>IFERROR(__xludf.DUMMYFUNCTION("""COMPUTED_VALUE"""),"Simon Mackenzie (Floorsnake)")</f>
        <v>Simon Mackenzie (Floorsnake)</v>
      </c>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IFERROR(__xludf.DUMMYFUNCTION("""COMPUTED_VALUE"""),46119.0)</f>
        <v>46119</v>
      </c>
      <c r="F27" s="4"/>
      <c r="G27"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27" s="4" t="str">
        <f>IFERROR(__xludf.DUMMYFUNCTION("""COMPUTED_VALUE"""),"The breakfast was okay but they don't change it up enough if you are staying for a while.  We stayed 6 days.")</f>
        <v>The breakfast was okay but they don't change it up enough if you are staying for a while.  We stayed 6 days.</v>
      </c>
      <c r="I27" s="4" t="str">
        <f>IFERROR(__xludf.DUMMYFUNCTION("""COMPUTED_VALUE"""),"")</f>
        <v/>
      </c>
      <c r="J27"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27"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27" s="20" t="str">
        <f>IFERROR(__xludf.DUMMYFUNCTION("""COMPUTED_VALUE"""),"Bree")</f>
        <v>Bree</v>
      </c>
      <c r="N27" s="20" t="b">
        <f>IFERROR(__xludf.DUMMYFUNCTION("""COMPUTED_VALUE"""),FALSE)</f>
        <v>0</v>
      </c>
      <c r="O27" s="21" t="str">
        <f>IFERROR(__xludf.DUMMYFUNCTION("""COMPUTED_VALUE"""),"Booking.com")</f>
        <v>Booking.com</v>
      </c>
      <c r="P27" s="20">
        <f>IFERROR(__xludf.DUMMYFUNCTION("""COMPUTED_VALUE"""),9.0)</f>
        <v>9</v>
      </c>
      <c r="Q27" s="22">
        <f>IFERROR(__xludf.DUMMYFUNCTION("""COMPUTED_VALUE"""),46119.0)</f>
        <v>46119</v>
      </c>
      <c r="R27" s="20"/>
      <c r="S27"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27" s="20" t="str">
        <f>IFERROR(__xludf.DUMMYFUNCTION("""COMPUTED_VALUE"""),"The breakfast was okay but they don't change it up enough if you are staying for a while.  We stayed 6 days.")</f>
        <v>The breakfast was okay but they don't change it up enough if you are staying for a while.  We stayed 6 days.</v>
      </c>
      <c r="U27" s="20" t="str">
        <f>IFERROR(__xludf.DUMMYFUNCTION("""COMPUTED_VALUE"""),"")</f>
        <v/>
      </c>
      <c r="V27"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27"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27" s="20" t="str">
        <f>IFERROR(__xludf.DUMMYFUNCTION("""COMPUTED_VALUE"""),"Bree")</f>
        <v>Bree</v>
      </c>
    </row>
    <row r="28">
      <c r="B28" s="16" t="b">
        <f>IFERROR(__xludf.DUMMYFUNCTION("""COMPUTED_VALUE"""),FALSE)</f>
        <v>0</v>
      </c>
      <c r="C28" s="4" t="str">
        <f>IFERROR(__xludf.DUMMYFUNCTION("""COMPUTED_VALUE"""),"じゃらん")</f>
        <v>じゃらん</v>
      </c>
      <c r="D28" s="4">
        <f>IFERROR(__xludf.DUMMYFUNCTION("""COMPUTED_VALUE"""),5.0)</f>
        <v>5</v>
      </c>
      <c r="E28" s="18">
        <f>IFERROR(__xludf.DUMMYFUNCTION("""COMPUTED_VALUE"""),46119.0)</f>
        <v>46119</v>
      </c>
      <c r="F28"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28" s="4"/>
      <c r="H28" s="4"/>
      <c r="I28"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28" s="4" t="str">
        <f>IFERROR(__xludf.DUMMYFUNCTION("""COMPUTED_VALUE"""),"")</f>
        <v/>
      </c>
      <c r="K28" s="20" t="str">
        <f>IFERROR(__xludf.DUMMYFUNCTION("""COMPUTED_VALUE"""),"")</f>
        <v/>
      </c>
      <c r="L28" s="20" t="str">
        <f>IFERROR(__xludf.DUMMYFUNCTION("""COMPUTED_VALUE"""),"Jack8686さん")</f>
        <v>Jack8686さん</v>
      </c>
      <c r="N28" s="20" t="b">
        <f>IFERROR(__xludf.DUMMYFUNCTION("""COMPUTED_VALUE"""),FALSE)</f>
        <v>0</v>
      </c>
      <c r="O28" s="20" t="str">
        <f>IFERROR(__xludf.DUMMYFUNCTION("""COMPUTED_VALUE"""),"じゃらん")</f>
        <v>じゃらん</v>
      </c>
      <c r="P28" s="20">
        <f>IFERROR(__xludf.DUMMYFUNCTION("""COMPUTED_VALUE"""),5.0)</f>
        <v>5</v>
      </c>
      <c r="Q28" s="22">
        <f>IFERROR(__xludf.DUMMYFUNCTION("""COMPUTED_VALUE"""),46119.0)</f>
        <v>46119</v>
      </c>
      <c r="R28"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28" s="20"/>
      <c r="T28" s="20"/>
      <c r="U28"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28" s="20" t="str">
        <f>IFERROR(__xludf.DUMMYFUNCTION("""COMPUTED_VALUE"""),"")</f>
        <v/>
      </c>
      <c r="W28" s="20" t="str">
        <f>IFERROR(__xludf.DUMMYFUNCTION("""COMPUTED_VALUE"""),"")</f>
        <v/>
      </c>
      <c r="X28" s="20" t="str">
        <f>IFERROR(__xludf.DUMMYFUNCTION("""COMPUTED_VALUE"""),"Jack8686さん")</f>
        <v>Jack8686さん</v>
      </c>
    </row>
    <row r="29">
      <c r="B29" s="16" t="b">
        <f>IFERROR(__xludf.DUMMYFUNCTION("""COMPUTED_VALUE"""),FALSE)</f>
        <v>0</v>
      </c>
      <c r="C29" s="4" t="str">
        <f>IFERROR(__xludf.DUMMYFUNCTION("""COMPUTED_VALUE"""),"楽天トラベル")</f>
        <v>楽天トラベル</v>
      </c>
      <c r="D29" s="4">
        <f>IFERROR(__xludf.DUMMYFUNCTION("""COMPUTED_VALUE"""),5.0)</f>
        <v>5</v>
      </c>
      <c r="E29" s="18">
        <f>IFERROR(__xludf.DUMMYFUNCTION("""COMPUTED_VALUE"""),46119.0)</f>
        <v>46119</v>
      </c>
      <c r="F29"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29" s="4"/>
      <c r="H29" s="4"/>
      <c r="I29"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29" s="4" t="str">
        <f>IFERROR(__xludf.DUMMYFUNCTION("""COMPUTED_VALUE"""),"")</f>
        <v/>
      </c>
      <c r="K29" s="20" t="str">
        <f>IFERROR(__xludf.DUMMYFUNCTION("""COMPUTED_VALUE"""),"")</f>
        <v/>
      </c>
      <c r="L29" s="20" t="str">
        <f>IFERROR(__xludf.DUMMYFUNCTION("""COMPUTED_VALUE"""),"たまごぱん55")</f>
        <v>たまごぱん55</v>
      </c>
      <c r="N29" s="20" t="b">
        <f>IFERROR(__xludf.DUMMYFUNCTION("""COMPUTED_VALUE"""),FALSE)</f>
        <v>0</v>
      </c>
      <c r="O29" s="20" t="str">
        <f>IFERROR(__xludf.DUMMYFUNCTION("""COMPUTED_VALUE"""),"楽天トラベル")</f>
        <v>楽天トラベル</v>
      </c>
      <c r="P29" s="20">
        <f>IFERROR(__xludf.DUMMYFUNCTION("""COMPUTED_VALUE"""),5.0)</f>
        <v>5</v>
      </c>
      <c r="Q29" s="22">
        <f>IFERROR(__xludf.DUMMYFUNCTION("""COMPUTED_VALUE"""),46119.0)</f>
        <v>46119</v>
      </c>
      <c r="R29"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29" s="20"/>
      <c r="T29" s="20"/>
      <c r="U29"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29" s="20" t="str">
        <f>IFERROR(__xludf.DUMMYFUNCTION("""COMPUTED_VALUE"""),"")</f>
        <v/>
      </c>
      <c r="W29" s="20" t="str">
        <f>IFERROR(__xludf.DUMMYFUNCTION("""COMPUTED_VALUE"""),"")</f>
        <v/>
      </c>
      <c r="X29" s="20" t="str">
        <f>IFERROR(__xludf.DUMMYFUNCTION("""COMPUTED_VALUE"""),"たまごぱん55")</f>
        <v>たまごぱん55</v>
      </c>
    </row>
    <row r="30">
      <c r="B30" s="16" t="b">
        <f>IFERROR(__xludf.DUMMYFUNCTION("""COMPUTED_VALUE"""),FALSE)</f>
        <v>0</v>
      </c>
      <c r="C30" s="4" t="str">
        <f>IFERROR(__xludf.DUMMYFUNCTION("""COMPUTED_VALUE"""),"楽天トラベル")</f>
        <v>楽天トラベル</v>
      </c>
      <c r="D30" s="4">
        <f>IFERROR(__xludf.DUMMYFUNCTION("""COMPUTED_VALUE"""),5.0)</f>
        <v>5</v>
      </c>
      <c r="E30" s="18">
        <f>IFERROR(__xludf.DUMMYFUNCTION("""COMPUTED_VALUE"""),46118.0)</f>
        <v>46118</v>
      </c>
      <c r="F30"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30" s="4"/>
      <c r="H30" s="4"/>
      <c r="I30"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30" s="4" t="str">
        <f>IFERROR(__xludf.DUMMYFUNCTION("""COMPUTED_VALUE"""),"")</f>
        <v/>
      </c>
      <c r="K30" s="20" t="str">
        <f>IFERROR(__xludf.DUMMYFUNCTION("""COMPUTED_VALUE"""),"")</f>
        <v/>
      </c>
      <c r="L30" s="20" t="str">
        <f>IFERROR(__xludf.DUMMYFUNCTION("""COMPUTED_VALUE"""),"あれ0710")</f>
        <v>あれ0710</v>
      </c>
      <c r="N30" s="20" t="b">
        <f>IFERROR(__xludf.DUMMYFUNCTION("""COMPUTED_VALUE"""),FALSE)</f>
        <v>0</v>
      </c>
      <c r="O30" s="20" t="str">
        <f>IFERROR(__xludf.DUMMYFUNCTION("""COMPUTED_VALUE"""),"楽天トラベル")</f>
        <v>楽天トラベル</v>
      </c>
      <c r="P30" s="20">
        <f>IFERROR(__xludf.DUMMYFUNCTION("""COMPUTED_VALUE"""),5.0)</f>
        <v>5</v>
      </c>
      <c r="Q30" s="22">
        <f>IFERROR(__xludf.DUMMYFUNCTION("""COMPUTED_VALUE"""),46118.0)</f>
        <v>46118</v>
      </c>
      <c r="R30"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30" s="20"/>
      <c r="T30" s="20"/>
      <c r="U30"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30" s="20" t="str">
        <f>IFERROR(__xludf.DUMMYFUNCTION("""COMPUTED_VALUE"""),"")</f>
        <v/>
      </c>
      <c r="W30" s="20" t="str">
        <f>IFERROR(__xludf.DUMMYFUNCTION("""COMPUTED_VALUE"""),"")</f>
        <v/>
      </c>
      <c r="X30" s="20" t="str">
        <f>IFERROR(__xludf.DUMMYFUNCTION("""COMPUTED_VALUE"""),"あれ0710")</f>
        <v>あれ0710</v>
      </c>
    </row>
    <row r="31">
      <c r="B31" s="16" t="b">
        <f>IFERROR(__xludf.DUMMYFUNCTION("""COMPUTED_VALUE"""),FALSE)</f>
        <v>0</v>
      </c>
      <c r="C31" s="4" t="str">
        <f>IFERROR(__xludf.DUMMYFUNCTION("""COMPUTED_VALUE"""),"Google")</f>
        <v>Google</v>
      </c>
      <c r="D31" s="4">
        <f>IFERROR(__xludf.DUMMYFUNCTION("""COMPUTED_VALUE"""),5.0)</f>
        <v>5</v>
      </c>
      <c r="E31" s="18">
        <f>IFERROR(__xludf.DUMMYFUNCTION("""COMPUTED_VALUE"""),46117.0)</f>
        <v>46117</v>
      </c>
      <c r="F31" s="4" t="str">
        <f>IFERROR(__xludf.DUMMYFUNCTION("""COMPUTED_VALUE"""),"宿泊の次の日に、ディズニーシー行く為。無料の送迎バスがあって便利でした。")</f>
        <v>宿泊の次の日に、ディズニーシー行く為。無料の送迎バスがあって便利でした。</v>
      </c>
      <c r="G31" s="4"/>
      <c r="H31" s="4"/>
      <c r="I31" s="4" t="str">
        <f>IFERROR(__xludf.DUMMYFUNCTION("""COMPUTED_VALUE"""),"宿泊の次の日に、ディズニーシー行く為。無料の送迎バスがあって便利でした。")</f>
        <v>宿泊の次の日に、ディズニーシー行く為。無料の送迎バスがあって便利でした。</v>
      </c>
      <c r="J31" s="4" t="str">
        <f>IFERROR(__xludf.DUMMYFUNCTION("""COMPUTED_VALUE"""),"")</f>
        <v/>
      </c>
      <c r="K31" s="20" t="str">
        <f>IFERROR(__xludf.DUMMYFUNCTION("""COMPUTED_VALUE"""),"")</f>
        <v/>
      </c>
      <c r="L31" s="20" t="str">
        <f>IFERROR(__xludf.DUMMYFUNCTION("""COMPUTED_VALUE"""),"愛伊達")</f>
        <v>愛伊達</v>
      </c>
      <c r="N31" s="20" t="b">
        <f>IFERROR(__xludf.DUMMYFUNCTION("""COMPUTED_VALUE"""),FALSE)</f>
        <v>0</v>
      </c>
      <c r="O31" s="20" t="str">
        <f>IFERROR(__xludf.DUMMYFUNCTION("""COMPUTED_VALUE"""),"Google")</f>
        <v>Google</v>
      </c>
      <c r="P31" s="20">
        <f>IFERROR(__xludf.DUMMYFUNCTION("""COMPUTED_VALUE"""),5.0)</f>
        <v>5</v>
      </c>
      <c r="Q31" s="22">
        <f>IFERROR(__xludf.DUMMYFUNCTION("""COMPUTED_VALUE"""),46117.0)</f>
        <v>46117</v>
      </c>
      <c r="R31" s="20" t="str">
        <f>IFERROR(__xludf.DUMMYFUNCTION("""COMPUTED_VALUE"""),"宿泊の次の日に、ディズニーシー行く為。無料の送迎バスがあって便利でした。")</f>
        <v>宿泊の次の日に、ディズニーシー行く為。無料の送迎バスがあって便利でした。</v>
      </c>
      <c r="S31" s="20"/>
      <c r="T31" s="20"/>
      <c r="U31" s="20" t="str">
        <f>IFERROR(__xludf.DUMMYFUNCTION("""COMPUTED_VALUE"""),"宿泊の次の日に、ディズニーシー行く為。無料の送迎バスがあって便利でした。")</f>
        <v>宿泊の次の日に、ディズニーシー行く為。無料の送迎バスがあって便利でした。</v>
      </c>
      <c r="V31" s="20" t="str">
        <f>IFERROR(__xludf.DUMMYFUNCTION("""COMPUTED_VALUE"""),"")</f>
        <v/>
      </c>
      <c r="W31" s="20" t="str">
        <f>IFERROR(__xludf.DUMMYFUNCTION("""COMPUTED_VALUE"""),"")</f>
        <v/>
      </c>
      <c r="X31" s="20" t="str">
        <f>IFERROR(__xludf.DUMMYFUNCTION("""COMPUTED_VALUE"""),"愛伊達")</f>
        <v>愛伊達</v>
      </c>
    </row>
    <row r="32">
      <c r="B32" s="16" t="b">
        <f>IFERROR(__xludf.DUMMYFUNCTION("""COMPUTED_VALUE"""),FALSE)</f>
        <v>0</v>
      </c>
      <c r="C32" s="17" t="str">
        <f>IFERROR(__xludf.DUMMYFUNCTION("""COMPUTED_VALUE"""),"Trip.com")</f>
        <v>Trip.com</v>
      </c>
      <c r="D32" s="4">
        <f>IFERROR(__xludf.DUMMYFUNCTION("""COMPUTED_VALUE"""),9.0)</f>
        <v>9</v>
      </c>
      <c r="E32" s="18">
        <f>IFERROR(__xludf.DUMMYFUNCTION("""COMPUTED_VALUE"""),46117.0)</f>
        <v>46117</v>
      </c>
      <c r="F32"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32" s="4"/>
      <c r="H32" s="4"/>
      <c r="I32"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32" s="4" t="str">
        <f>IFERROR(__xludf.DUMMYFUNCTION("""COMPUTED_VALUE"""),"")</f>
        <v/>
      </c>
      <c r="K32" s="20" t="str">
        <f>IFERROR(__xludf.DUMMYFUNCTION("""COMPUTED_VALUE"""),"")</f>
        <v/>
      </c>
      <c r="L32" s="20" t="str">
        <f>IFERROR(__xludf.DUMMYFUNCTION("""COMPUTED_VALUE"""),"ゲ‍ス‍ト")</f>
        <v>ゲ‍ス‍ト</v>
      </c>
      <c r="N32" s="20" t="b">
        <f>IFERROR(__xludf.DUMMYFUNCTION("""COMPUTED_VALUE"""),FALSE)</f>
        <v>0</v>
      </c>
      <c r="O32" s="21" t="str">
        <f>IFERROR(__xludf.DUMMYFUNCTION("""COMPUTED_VALUE"""),"Trip.com")</f>
        <v>Trip.com</v>
      </c>
      <c r="P32" s="20">
        <f>IFERROR(__xludf.DUMMYFUNCTION("""COMPUTED_VALUE"""),9.0)</f>
        <v>9</v>
      </c>
      <c r="Q32" s="22">
        <f>IFERROR(__xludf.DUMMYFUNCTION("""COMPUTED_VALUE"""),46117.0)</f>
        <v>46117</v>
      </c>
      <c r="R32"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32" s="20"/>
      <c r="T32" s="20"/>
      <c r="U32"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32" s="20" t="str">
        <f>IFERROR(__xludf.DUMMYFUNCTION("""COMPUTED_VALUE"""),"")</f>
        <v/>
      </c>
      <c r="W32" s="20" t="str">
        <f>IFERROR(__xludf.DUMMYFUNCTION("""COMPUTED_VALUE"""),"")</f>
        <v/>
      </c>
      <c r="X32" s="20" t="str">
        <f>IFERROR(__xludf.DUMMYFUNCTION("""COMPUTED_VALUE"""),"ゲ‍ス‍ト")</f>
        <v>ゲ‍ス‍ト</v>
      </c>
    </row>
    <row r="33">
      <c r="B33" s="16" t="b">
        <f>IFERROR(__xludf.DUMMYFUNCTION("""COMPUTED_VALUE"""),FALSE)</f>
        <v>0</v>
      </c>
      <c r="C33" s="4" t="str">
        <f>IFERROR(__xludf.DUMMYFUNCTION("""COMPUTED_VALUE"""),"楽天トラベル")</f>
        <v>楽天トラベル</v>
      </c>
      <c r="D33" s="4">
        <f>IFERROR(__xludf.DUMMYFUNCTION("""COMPUTED_VALUE"""),5.0)</f>
        <v>5</v>
      </c>
      <c r="E33" s="18">
        <f>IFERROR(__xludf.DUMMYFUNCTION("""COMPUTED_VALUE"""),46117.0)</f>
        <v>46117</v>
      </c>
      <c r="F33"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33" s="4"/>
      <c r="H33" s="4"/>
      <c r="I33"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33" s="4" t="str">
        <f>IFERROR(__xludf.DUMMYFUNCTION("""COMPUTED_VALUE"""),"")</f>
        <v/>
      </c>
      <c r="K33" s="20" t="str">
        <f>IFERROR(__xludf.DUMMYFUNCTION("""COMPUTED_VALUE"""),"")</f>
        <v/>
      </c>
      <c r="L33" s="20" t="str">
        <f>IFERROR(__xludf.DUMMYFUNCTION("""COMPUTED_VALUE"""),"みぃみぃ37")</f>
        <v>みぃみぃ37</v>
      </c>
      <c r="N33" s="20" t="b">
        <f>IFERROR(__xludf.DUMMYFUNCTION("""COMPUTED_VALUE"""),FALSE)</f>
        <v>0</v>
      </c>
      <c r="O33" s="20" t="str">
        <f>IFERROR(__xludf.DUMMYFUNCTION("""COMPUTED_VALUE"""),"楽天トラベル")</f>
        <v>楽天トラベル</v>
      </c>
      <c r="P33" s="20">
        <f>IFERROR(__xludf.DUMMYFUNCTION("""COMPUTED_VALUE"""),5.0)</f>
        <v>5</v>
      </c>
      <c r="Q33" s="22">
        <f>IFERROR(__xludf.DUMMYFUNCTION("""COMPUTED_VALUE"""),46117.0)</f>
        <v>46117</v>
      </c>
      <c r="R33"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33" s="20"/>
      <c r="T33" s="20"/>
      <c r="U33"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33" s="20" t="str">
        <f>IFERROR(__xludf.DUMMYFUNCTION("""COMPUTED_VALUE"""),"")</f>
        <v/>
      </c>
      <c r="W33" s="20" t="str">
        <f>IFERROR(__xludf.DUMMYFUNCTION("""COMPUTED_VALUE"""),"")</f>
        <v/>
      </c>
      <c r="X33" s="20" t="str">
        <f>IFERROR(__xludf.DUMMYFUNCTION("""COMPUTED_VALUE"""),"みぃみぃ37")</f>
        <v>みぃみぃ37</v>
      </c>
    </row>
    <row r="34">
      <c r="B34" s="16" t="b">
        <f>IFERROR(__xludf.DUMMYFUNCTION("""COMPUTED_VALUE"""),FALSE)</f>
        <v>0</v>
      </c>
      <c r="C34" s="4" t="str">
        <f>IFERROR(__xludf.DUMMYFUNCTION("""COMPUTED_VALUE"""),"楽天トラベル")</f>
        <v>楽天トラベル</v>
      </c>
      <c r="D34" s="4">
        <f>IFERROR(__xludf.DUMMYFUNCTION("""COMPUTED_VALUE"""),5.0)</f>
        <v>5</v>
      </c>
      <c r="E34" s="18">
        <f>IFERROR(__xludf.DUMMYFUNCTION("""COMPUTED_VALUE"""),46117.0)</f>
        <v>46117</v>
      </c>
      <c r="F34" s="4" t="str">
        <f>IFERROR(__xludf.DUMMYFUNCTION("""COMPUTED_VALUE"""),"スタッフの対応もよく、大変満足してます。ありがとうございます")</f>
        <v>スタッフの対応もよく、大変満足してます。ありがとうございます</v>
      </c>
      <c r="G34" s="4"/>
      <c r="H34" s="4"/>
      <c r="I34" s="4" t="str">
        <f>IFERROR(__xludf.DUMMYFUNCTION("""COMPUTED_VALUE"""),"スタッフの対応もよく、大変満足してます。ありがとうございます")</f>
        <v>スタッフの対応もよく、大変満足してます。ありがとうございます</v>
      </c>
      <c r="J34" s="4" t="str">
        <f>IFERROR(__xludf.DUMMYFUNCTION("""COMPUTED_VALUE"""),"")</f>
        <v/>
      </c>
      <c r="K34" s="20" t="str">
        <f>IFERROR(__xludf.DUMMYFUNCTION("""COMPUTED_VALUE"""),"")</f>
        <v/>
      </c>
      <c r="L34" s="20" t="str">
        <f>IFERROR(__xludf.DUMMYFUNCTION("""COMPUTED_VALUE"""),"あまあいだい")</f>
        <v>あまあいだい</v>
      </c>
      <c r="N34" s="20" t="b">
        <f>IFERROR(__xludf.DUMMYFUNCTION("""COMPUTED_VALUE"""),FALSE)</f>
        <v>0</v>
      </c>
      <c r="O34" s="20" t="str">
        <f>IFERROR(__xludf.DUMMYFUNCTION("""COMPUTED_VALUE"""),"楽天トラベル")</f>
        <v>楽天トラベル</v>
      </c>
      <c r="P34" s="20">
        <f>IFERROR(__xludf.DUMMYFUNCTION("""COMPUTED_VALUE"""),5.0)</f>
        <v>5</v>
      </c>
      <c r="Q34" s="22">
        <f>IFERROR(__xludf.DUMMYFUNCTION("""COMPUTED_VALUE"""),46117.0)</f>
        <v>46117</v>
      </c>
      <c r="R34" s="20" t="str">
        <f>IFERROR(__xludf.DUMMYFUNCTION("""COMPUTED_VALUE"""),"スタッフの対応もよく、大変満足してます。ありがとうございます")</f>
        <v>スタッフの対応もよく、大変満足してます。ありがとうございます</v>
      </c>
      <c r="S34" s="20"/>
      <c r="T34" s="20"/>
      <c r="U34" s="20" t="str">
        <f>IFERROR(__xludf.DUMMYFUNCTION("""COMPUTED_VALUE"""),"スタッフの対応もよく、大変満足してます。ありがとうございます")</f>
        <v>スタッフの対応もよく、大変満足してます。ありがとうございます</v>
      </c>
      <c r="V34" s="20" t="str">
        <f>IFERROR(__xludf.DUMMYFUNCTION("""COMPUTED_VALUE"""),"")</f>
        <v/>
      </c>
      <c r="W34" s="20" t="str">
        <f>IFERROR(__xludf.DUMMYFUNCTION("""COMPUTED_VALUE"""),"")</f>
        <v/>
      </c>
      <c r="X34" s="20" t="str">
        <f>IFERROR(__xludf.DUMMYFUNCTION("""COMPUTED_VALUE"""),"あまあいだい")</f>
        <v>あまあいだい</v>
      </c>
    </row>
    <row r="35">
      <c r="B35" s="16" t="b">
        <f>IFERROR(__xludf.DUMMYFUNCTION("""COMPUTED_VALUE"""),FALSE)</f>
        <v>0</v>
      </c>
      <c r="C35" s="17" t="str">
        <f>IFERROR(__xludf.DUMMYFUNCTION("""COMPUTED_VALUE"""),"Trip.com")</f>
        <v>Trip.com</v>
      </c>
      <c r="D35" s="4">
        <f>IFERROR(__xludf.DUMMYFUNCTION("""COMPUTED_VALUE"""),7.0)</f>
        <v>7</v>
      </c>
      <c r="E35" s="18">
        <f>IFERROR(__xludf.DUMMYFUNCTION("""COMPUTED_VALUE"""),46117.0)</f>
        <v>46117</v>
      </c>
      <c r="F35" s="4" t="str">
        <f>IFERROR(__xludf.DUMMYFUNCTION("""COMPUTED_VALUE"""),"風呂場のシャワーの出が弱かった事意外は満足です。")</f>
        <v>風呂場のシャワーの出が弱かった事意外は満足です。</v>
      </c>
      <c r="G35" s="4"/>
      <c r="H35" s="4"/>
      <c r="I35" s="4" t="str">
        <f>IFERROR(__xludf.DUMMYFUNCTION("""COMPUTED_VALUE"""),"風呂場のシャワーの出が弱かった事意外は満足です。")</f>
        <v>風呂場のシャワーの出が弱かった事意外は満足です。</v>
      </c>
      <c r="J35" s="4" t="str">
        <f>IFERROR(__xludf.DUMMYFUNCTION("""COMPUTED_VALUE"""),"")</f>
        <v/>
      </c>
      <c r="K35" s="20" t="str">
        <f>IFERROR(__xludf.DUMMYFUNCTION("""COMPUTED_VALUE"""),"")</f>
        <v/>
      </c>
      <c r="L35" s="20" t="str">
        <f>IFERROR(__xludf.DUMMYFUNCTION("""COMPUTED_VALUE"""),"ゲ‍ス‍ト")</f>
        <v>ゲ‍ス‍ト</v>
      </c>
      <c r="N35" s="20" t="b">
        <f>IFERROR(__xludf.DUMMYFUNCTION("""COMPUTED_VALUE"""),FALSE)</f>
        <v>0</v>
      </c>
      <c r="O35" s="21" t="str">
        <f>IFERROR(__xludf.DUMMYFUNCTION("""COMPUTED_VALUE"""),"Trip.com")</f>
        <v>Trip.com</v>
      </c>
      <c r="P35" s="20">
        <f>IFERROR(__xludf.DUMMYFUNCTION("""COMPUTED_VALUE"""),7.0)</f>
        <v>7</v>
      </c>
      <c r="Q35" s="22">
        <f>IFERROR(__xludf.DUMMYFUNCTION("""COMPUTED_VALUE"""),46117.0)</f>
        <v>46117</v>
      </c>
      <c r="R35" s="20" t="str">
        <f>IFERROR(__xludf.DUMMYFUNCTION("""COMPUTED_VALUE"""),"風呂場のシャワーの出が弱かった事意外は満足です。")</f>
        <v>風呂場のシャワーの出が弱かった事意外は満足です。</v>
      </c>
      <c r="S35" s="20"/>
      <c r="T35" s="20"/>
      <c r="U35" s="20" t="str">
        <f>IFERROR(__xludf.DUMMYFUNCTION("""COMPUTED_VALUE"""),"風呂場のシャワーの出が弱かった事意外は満足です。")</f>
        <v>風呂場のシャワーの出が弱かった事意外は満足です。</v>
      </c>
      <c r="V35" s="20" t="str">
        <f>IFERROR(__xludf.DUMMYFUNCTION("""COMPUTED_VALUE"""),"")</f>
        <v/>
      </c>
      <c r="W35" s="20" t="str">
        <f>IFERROR(__xludf.DUMMYFUNCTION("""COMPUTED_VALUE"""),"")</f>
        <v/>
      </c>
      <c r="X35" s="20" t="str">
        <f>IFERROR(__xludf.DUMMYFUNCTION("""COMPUTED_VALUE"""),"ゲ‍ス‍ト")</f>
        <v>ゲ‍ス‍ト</v>
      </c>
    </row>
    <row r="36">
      <c r="B36" s="16" t="b">
        <f>IFERROR(__xludf.DUMMYFUNCTION("""COMPUTED_VALUE"""),FALSE)</f>
        <v>0</v>
      </c>
      <c r="C36" s="4" t="str">
        <f>IFERROR(__xludf.DUMMYFUNCTION("""COMPUTED_VALUE"""),"Agoda")</f>
        <v>Agoda</v>
      </c>
      <c r="D36" s="4">
        <f>IFERROR(__xludf.DUMMYFUNCTION("""COMPUTED_VALUE"""),9.0)</f>
        <v>9</v>
      </c>
      <c r="E36" s="18">
        <f>IFERROR(__xludf.DUMMYFUNCTION("""COMPUTED_VALUE"""),46117.0)</f>
        <v>46117</v>
      </c>
      <c r="F36"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36" s="4"/>
      <c r="H36" s="4"/>
      <c r="I36"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36" s="4" t="str">
        <f>IFERROR(__xludf.DUMMYFUNCTION("""COMPUTED_VALUE"""),"")</f>
        <v/>
      </c>
      <c r="K36" s="20" t="str">
        <f>IFERROR(__xludf.DUMMYFUNCTION("""COMPUTED_VALUE"""),"")</f>
        <v/>
      </c>
      <c r="L36" s="20" t="str">
        <f>IFERROR(__xludf.DUMMYFUNCTION("""COMPUTED_VALUE"""),"Mika")</f>
        <v>Mika</v>
      </c>
      <c r="N36" s="20" t="b">
        <f>IFERROR(__xludf.DUMMYFUNCTION("""COMPUTED_VALUE"""),FALSE)</f>
        <v>0</v>
      </c>
      <c r="O36" s="20" t="str">
        <f>IFERROR(__xludf.DUMMYFUNCTION("""COMPUTED_VALUE"""),"Agoda")</f>
        <v>Agoda</v>
      </c>
      <c r="P36" s="20">
        <f>IFERROR(__xludf.DUMMYFUNCTION("""COMPUTED_VALUE"""),9.0)</f>
        <v>9</v>
      </c>
      <c r="Q36" s="22">
        <f>IFERROR(__xludf.DUMMYFUNCTION("""COMPUTED_VALUE"""),46117.0)</f>
        <v>46117</v>
      </c>
      <c r="R36"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36" s="20"/>
      <c r="T36" s="20"/>
      <c r="U36"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36" s="20" t="str">
        <f>IFERROR(__xludf.DUMMYFUNCTION("""COMPUTED_VALUE"""),"")</f>
        <v/>
      </c>
      <c r="W36" s="20" t="str">
        <f>IFERROR(__xludf.DUMMYFUNCTION("""COMPUTED_VALUE"""),"")</f>
        <v/>
      </c>
      <c r="X36" s="20" t="str">
        <f>IFERROR(__xludf.DUMMYFUNCTION("""COMPUTED_VALUE"""),"Mika")</f>
        <v>Mika</v>
      </c>
    </row>
    <row r="37">
      <c r="B37" s="16" t="b">
        <f>IFERROR(__xludf.DUMMYFUNCTION("""COMPUTED_VALUE"""),FALSE)</f>
        <v>0</v>
      </c>
      <c r="C37" s="4" t="str">
        <f>IFERROR(__xludf.DUMMYFUNCTION("""COMPUTED_VALUE"""),"じゃらん")</f>
        <v>じゃらん</v>
      </c>
      <c r="D37" s="4">
        <f>IFERROR(__xludf.DUMMYFUNCTION("""COMPUTED_VALUE"""),4.0)</f>
        <v>4</v>
      </c>
      <c r="E37" s="18">
        <f>IFERROR(__xludf.DUMMYFUNCTION("""COMPUTED_VALUE"""),46117.0)</f>
        <v>46117</v>
      </c>
      <c r="F37"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37" s="4"/>
      <c r="H37" s="4"/>
      <c r="I37"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37" s="4" t="str">
        <f>IFERROR(__xludf.DUMMYFUNCTION("""COMPUTED_VALUE"""),"")</f>
        <v/>
      </c>
      <c r="K37" s="20" t="str">
        <f>IFERROR(__xludf.DUMMYFUNCTION("""COMPUTED_VALUE"""),"")</f>
        <v/>
      </c>
      <c r="L37" s="20" t="str">
        <f>IFERROR(__xludf.DUMMYFUNCTION("""COMPUTED_VALUE"""),"mokkoさん")</f>
        <v>mokkoさん</v>
      </c>
      <c r="N37" s="20" t="b">
        <f>IFERROR(__xludf.DUMMYFUNCTION("""COMPUTED_VALUE"""),FALSE)</f>
        <v>0</v>
      </c>
      <c r="O37" s="20" t="str">
        <f>IFERROR(__xludf.DUMMYFUNCTION("""COMPUTED_VALUE"""),"じゃらん")</f>
        <v>じゃらん</v>
      </c>
      <c r="P37" s="20">
        <f>IFERROR(__xludf.DUMMYFUNCTION("""COMPUTED_VALUE"""),4.0)</f>
        <v>4</v>
      </c>
      <c r="Q37" s="22">
        <f>IFERROR(__xludf.DUMMYFUNCTION("""COMPUTED_VALUE"""),46117.0)</f>
        <v>46117</v>
      </c>
      <c r="R37"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37" s="20"/>
      <c r="T37" s="20"/>
      <c r="U37"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37" s="20" t="str">
        <f>IFERROR(__xludf.DUMMYFUNCTION("""COMPUTED_VALUE"""),"")</f>
        <v/>
      </c>
      <c r="W37" s="20" t="str">
        <f>IFERROR(__xludf.DUMMYFUNCTION("""COMPUTED_VALUE"""),"")</f>
        <v/>
      </c>
      <c r="X37" s="20" t="str">
        <f>IFERROR(__xludf.DUMMYFUNCTION("""COMPUTED_VALUE"""),"mokkoさん")</f>
        <v>mokkoさん</v>
      </c>
    </row>
    <row r="38">
      <c r="B38" s="16" t="b">
        <f>IFERROR(__xludf.DUMMYFUNCTION("""COMPUTED_VALUE"""),FALSE)</f>
        <v>0</v>
      </c>
      <c r="C38" s="4" t="str">
        <f>IFERROR(__xludf.DUMMYFUNCTION("""COMPUTED_VALUE"""),"楽天トラベル")</f>
        <v>楽天トラベル</v>
      </c>
      <c r="D38" s="4">
        <f>IFERROR(__xludf.DUMMYFUNCTION("""COMPUTED_VALUE"""),5.0)</f>
        <v>5</v>
      </c>
      <c r="E38" s="18">
        <f>IFERROR(__xludf.DUMMYFUNCTION("""COMPUTED_VALUE"""),46116.0)</f>
        <v>46116</v>
      </c>
      <c r="F38"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38" s="4"/>
      <c r="H38" s="4"/>
      <c r="I38"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38" s="4" t="str">
        <f>IFERROR(__xludf.DUMMYFUNCTION("""COMPUTED_VALUE"""),"")</f>
        <v/>
      </c>
      <c r="K38" s="20" t="str">
        <f>IFERROR(__xludf.DUMMYFUNCTION("""COMPUTED_VALUE"""),"")</f>
        <v/>
      </c>
      <c r="L38" s="20" t="str">
        <f>IFERROR(__xludf.DUMMYFUNCTION("""COMPUTED_VALUE"""),"せいせいゆう")</f>
        <v>せいせいゆう</v>
      </c>
      <c r="N38" s="20" t="b">
        <f>IFERROR(__xludf.DUMMYFUNCTION("""COMPUTED_VALUE"""),FALSE)</f>
        <v>0</v>
      </c>
      <c r="O38" s="20" t="str">
        <f>IFERROR(__xludf.DUMMYFUNCTION("""COMPUTED_VALUE"""),"楽天トラベル")</f>
        <v>楽天トラベル</v>
      </c>
      <c r="P38" s="20">
        <f>IFERROR(__xludf.DUMMYFUNCTION("""COMPUTED_VALUE"""),5.0)</f>
        <v>5</v>
      </c>
      <c r="Q38" s="22">
        <f>IFERROR(__xludf.DUMMYFUNCTION("""COMPUTED_VALUE"""),46116.0)</f>
        <v>46116</v>
      </c>
      <c r="R38"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38" s="20"/>
      <c r="T38" s="20"/>
      <c r="U38"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38" s="20" t="str">
        <f>IFERROR(__xludf.DUMMYFUNCTION("""COMPUTED_VALUE"""),"")</f>
        <v/>
      </c>
      <c r="W38" s="20" t="str">
        <f>IFERROR(__xludf.DUMMYFUNCTION("""COMPUTED_VALUE"""),"")</f>
        <v/>
      </c>
      <c r="X38" s="20" t="str">
        <f>IFERROR(__xludf.DUMMYFUNCTION("""COMPUTED_VALUE"""),"せいせいゆう")</f>
        <v>せいせいゆう</v>
      </c>
    </row>
    <row r="39">
      <c r="B39" s="16" t="b">
        <f>IFERROR(__xludf.DUMMYFUNCTION("""COMPUTED_VALUE"""),FALSE)</f>
        <v>0</v>
      </c>
      <c r="C39" s="4" t="str">
        <f>IFERROR(__xludf.DUMMYFUNCTION("""COMPUTED_VALUE"""),"楽天トラベル")</f>
        <v>楽天トラベル</v>
      </c>
      <c r="D39" s="4">
        <f>IFERROR(__xludf.DUMMYFUNCTION("""COMPUTED_VALUE"""),4.0)</f>
        <v>4</v>
      </c>
      <c r="E39" s="18">
        <f>IFERROR(__xludf.DUMMYFUNCTION("""COMPUTED_VALUE"""),46116.0)</f>
        <v>46116</v>
      </c>
      <c r="F39"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39" s="4"/>
      <c r="H39" s="4"/>
      <c r="I39"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39" s="4" t="str">
        <f>IFERROR(__xludf.DUMMYFUNCTION("""COMPUTED_VALUE"""),"")</f>
        <v/>
      </c>
      <c r="K39" s="20" t="str">
        <f>IFERROR(__xludf.DUMMYFUNCTION("""COMPUTED_VALUE"""),"")</f>
        <v/>
      </c>
      <c r="L39" s="20" t="str">
        <f>IFERROR(__xludf.DUMMYFUNCTION("""COMPUTED_VALUE"""),"じゃっぴちゃん")</f>
        <v>じゃっぴちゃん</v>
      </c>
      <c r="N39" s="20" t="b">
        <f>IFERROR(__xludf.DUMMYFUNCTION("""COMPUTED_VALUE"""),FALSE)</f>
        <v>0</v>
      </c>
      <c r="O39" s="20" t="str">
        <f>IFERROR(__xludf.DUMMYFUNCTION("""COMPUTED_VALUE"""),"楽天トラベル")</f>
        <v>楽天トラベル</v>
      </c>
      <c r="P39" s="20">
        <f>IFERROR(__xludf.DUMMYFUNCTION("""COMPUTED_VALUE"""),4.0)</f>
        <v>4</v>
      </c>
      <c r="Q39" s="22">
        <f>IFERROR(__xludf.DUMMYFUNCTION("""COMPUTED_VALUE"""),46116.0)</f>
        <v>46116</v>
      </c>
      <c r="R39"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39" s="20"/>
      <c r="T39" s="20"/>
      <c r="U39"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39" s="20" t="str">
        <f>IFERROR(__xludf.DUMMYFUNCTION("""COMPUTED_VALUE"""),"")</f>
        <v/>
      </c>
      <c r="W39" s="20" t="str">
        <f>IFERROR(__xludf.DUMMYFUNCTION("""COMPUTED_VALUE"""),"")</f>
        <v/>
      </c>
      <c r="X39" s="20" t="str">
        <f>IFERROR(__xludf.DUMMYFUNCTION("""COMPUTED_VALUE"""),"じゃっぴちゃん")</f>
        <v>じゃっぴちゃん</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IFERROR(__xludf.DUMMYFUNCTION("""COMPUTED_VALUE"""),46116.0)</f>
        <v>46116</v>
      </c>
      <c r="F40"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40" s="4"/>
      <c r="H40" s="4"/>
      <c r="I40"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40" s="4" t="str">
        <f>IFERROR(__xludf.DUMMYFUNCTION("""COMPUTED_VALUE"""),"")</f>
        <v/>
      </c>
      <c r="K40" s="20" t="str">
        <f>IFERROR(__xludf.DUMMYFUNCTION("""COMPUTED_VALUE"""),"")</f>
        <v/>
      </c>
      <c r="L40" s="20" t="str">
        <f>IFERROR(__xludf.DUMMYFUNCTION("""COMPUTED_VALUE"""),"あさみんみんー")</f>
        <v>あさみんみんー</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IFERROR(__xludf.DUMMYFUNCTION("""COMPUTED_VALUE"""),46116.0)</f>
        <v>46116</v>
      </c>
      <c r="R40"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40" s="20"/>
      <c r="T40" s="20"/>
      <c r="U40"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40" s="20" t="str">
        <f>IFERROR(__xludf.DUMMYFUNCTION("""COMPUTED_VALUE"""),"")</f>
        <v/>
      </c>
      <c r="W40" s="20" t="str">
        <f>IFERROR(__xludf.DUMMYFUNCTION("""COMPUTED_VALUE"""),"")</f>
        <v/>
      </c>
      <c r="X40" s="20" t="str">
        <f>IFERROR(__xludf.DUMMYFUNCTION("""COMPUTED_VALUE"""),"あさみんみんー")</f>
        <v>あさみんみんー</v>
      </c>
    </row>
    <row r="41">
      <c r="B41" s="16" t="b">
        <f>IFERROR(__xludf.DUMMYFUNCTION("""COMPUTED_VALUE"""),FALSE)</f>
        <v>0</v>
      </c>
      <c r="C41" s="17" t="str">
        <f>IFERROR(__xludf.DUMMYFUNCTION("""COMPUTED_VALUE"""),"Trip.com")</f>
        <v>Trip.com</v>
      </c>
      <c r="D41" s="4">
        <f>IFERROR(__xludf.DUMMYFUNCTION("""COMPUTED_VALUE"""),10.0)</f>
        <v>10</v>
      </c>
      <c r="E41" s="18">
        <f>IFERROR(__xludf.DUMMYFUNCTION("""COMPUTED_VALUE"""),46115.0)</f>
        <v>46115</v>
      </c>
      <c r="F41"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41" s="4"/>
      <c r="H41" s="4"/>
      <c r="I41"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41" s="4" t="str">
        <f>IFERROR(__xludf.DUMMYFUNCTION("""COMPUTED_VALUE"""),"")</f>
        <v/>
      </c>
      <c r="K41" s="20" t="str">
        <f>IFERROR(__xludf.DUMMYFUNCTION("""COMPUTED_VALUE"""),"")</f>
        <v/>
      </c>
      <c r="L41" s="20" t="str">
        <f>IFERROR(__xludf.DUMMYFUNCTION("""COMPUTED_VALUE"""),"v‍n‍s‍a‍.‍j‍p‍.‍g‍n‍m")</f>
        <v>v‍n‍s‍a‍.‍j‍p‍.‍g‍n‍m</v>
      </c>
      <c r="N41" s="20" t="b">
        <f>IFERROR(__xludf.DUMMYFUNCTION("""COMPUTED_VALUE"""),FALSE)</f>
        <v>0</v>
      </c>
      <c r="O41" s="21" t="str">
        <f>IFERROR(__xludf.DUMMYFUNCTION("""COMPUTED_VALUE"""),"Trip.com")</f>
        <v>Trip.com</v>
      </c>
      <c r="P41" s="20">
        <f>IFERROR(__xludf.DUMMYFUNCTION("""COMPUTED_VALUE"""),10.0)</f>
        <v>10</v>
      </c>
      <c r="Q41" s="22">
        <f>IFERROR(__xludf.DUMMYFUNCTION("""COMPUTED_VALUE"""),46115.0)</f>
        <v>46115</v>
      </c>
      <c r="R41"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41" s="20"/>
      <c r="T41" s="20"/>
      <c r="U41"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41" s="20" t="str">
        <f>IFERROR(__xludf.DUMMYFUNCTION("""COMPUTED_VALUE"""),"")</f>
        <v/>
      </c>
      <c r="W41" s="20" t="str">
        <f>IFERROR(__xludf.DUMMYFUNCTION("""COMPUTED_VALUE"""),"")</f>
        <v/>
      </c>
      <c r="X41" s="20" t="str">
        <f>IFERROR(__xludf.DUMMYFUNCTION("""COMPUTED_VALUE"""),"v‍n‍s‍a‍.‍j‍p‍.‍g‍n‍m")</f>
        <v>v‍n‍s‍a‍.‍j‍p‍.‍g‍n‍m</v>
      </c>
    </row>
    <row r="42">
      <c r="B42" s="16" t="b">
        <f>IFERROR(__xludf.DUMMYFUNCTION("""COMPUTED_VALUE"""),FALSE)</f>
        <v>0</v>
      </c>
      <c r="C42" s="4" t="str">
        <f>IFERROR(__xludf.DUMMYFUNCTION("""COMPUTED_VALUE"""),"楽天トラベル")</f>
        <v>楽天トラベル</v>
      </c>
      <c r="D42" s="19">
        <f>IFERROR(__xludf.DUMMYFUNCTION("""COMPUTED_VALUE"""),5.0)</f>
        <v>5</v>
      </c>
      <c r="E42" s="18">
        <f>IFERROR(__xludf.DUMMYFUNCTION("""COMPUTED_VALUE"""),46115.0)</f>
        <v>46115</v>
      </c>
      <c r="F42"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42" s="4"/>
      <c r="H42" s="4"/>
      <c r="I42"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42" s="4" t="str">
        <f>IFERROR(__xludf.DUMMYFUNCTION("""COMPUTED_VALUE"""),"")</f>
        <v/>
      </c>
      <c r="K42" s="20" t="str">
        <f>IFERROR(__xludf.DUMMYFUNCTION("""COMPUTED_VALUE"""),"")</f>
        <v/>
      </c>
      <c r="L42" s="20" t="str">
        <f>IFERROR(__xludf.DUMMYFUNCTION("""COMPUTED_VALUE"""),"じょ2578")</f>
        <v>じょ2578</v>
      </c>
      <c r="N42" s="20" t="b">
        <f>IFERROR(__xludf.DUMMYFUNCTION("""COMPUTED_VALUE"""),FALSE)</f>
        <v>0</v>
      </c>
      <c r="O42" s="20" t="str">
        <f>IFERROR(__xludf.DUMMYFUNCTION("""COMPUTED_VALUE"""),"楽天トラベル")</f>
        <v>楽天トラベル</v>
      </c>
      <c r="P42" s="20">
        <f>IFERROR(__xludf.DUMMYFUNCTION("""COMPUTED_VALUE"""),5.0)</f>
        <v>5</v>
      </c>
      <c r="Q42" s="22">
        <f>IFERROR(__xludf.DUMMYFUNCTION("""COMPUTED_VALUE"""),46115.0)</f>
        <v>46115</v>
      </c>
      <c r="R42"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42" s="20"/>
      <c r="T42" s="20"/>
      <c r="U42"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42" s="20" t="str">
        <f>IFERROR(__xludf.DUMMYFUNCTION("""COMPUTED_VALUE"""),"")</f>
        <v/>
      </c>
      <c r="W42" s="20" t="str">
        <f>IFERROR(__xludf.DUMMYFUNCTION("""COMPUTED_VALUE"""),"")</f>
        <v/>
      </c>
      <c r="X42" s="20" t="str">
        <f>IFERROR(__xludf.DUMMYFUNCTION("""COMPUTED_VALUE"""),"じょ2578")</f>
        <v>じょ2578</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IFERROR(__xludf.DUMMYFUNCTION("""COMPUTED_VALUE"""),46115.0)</f>
        <v>46115</v>
      </c>
      <c r="F43" s="4"/>
      <c r="G43"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43" s="4"/>
      <c r="I43" s="4" t="str">
        <f>IFERROR(__xludf.DUMMYFUNCTION("""COMPUTED_VALUE"""),"")</f>
        <v/>
      </c>
      <c r="J43"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43" s="20" t="str">
        <f>IFERROR(__xludf.DUMMYFUNCTION("""COMPUTED_VALUE"""),"")</f>
        <v/>
      </c>
      <c r="L43" s="20" t="str">
        <f>IFERROR(__xludf.DUMMYFUNCTION("""COMPUTED_VALUE"""),"Rebecca")</f>
        <v>Rebecca</v>
      </c>
      <c r="N43" s="20" t="b">
        <f>IFERROR(__xludf.DUMMYFUNCTION("""COMPUTED_VALUE"""),FALSE)</f>
        <v>0</v>
      </c>
      <c r="O43" s="21" t="str">
        <f>IFERROR(__xludf.DUMMYFUNCTION("""COMPUTED_VALUE"""),"Booking.com")</f>
        <v>Booking.com</v>
      </c>
      <c r="P43" s="20">
        <f>IFERROR(__xludf.DUMMYFUNCTION("""COMPUTED_VALUE"""),9.0)</f>
        <v>9</v>
      </c>
      <c r="Q43" s="22">
        <f>IFERROR(__xludf.DUMMYFUNCTION("""COMPUTED_VALUE"""),46115.0)</f>
        <v>46115</v>
      </c>
      <c r="R43" s="20"/>
      <c r="S43"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43" s="20"/>
      <c r="U43" s="20" t="str">
        <f>IFERROR(__xludf.DUMMYFUNCTION("""COMPUTED_VALUE"""),"")</f>
        <v/>
      </c>
      <c r="V43"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43" s="20" t="str">
        <f>IFERROR(__xludf.DUMMYFUNCTION("""COMPUTED_VALUE"""),"")</f>
        <v/>
      </c>
      <c r="X43" s="20" t="str">
        <f>IFERROR(__xludf.DUMMYFUNCTION("""COMPUTED_VALUE"""),"Rebecca")</f>
        <v>Rebecca</v>
      </c>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IFERROR(__xludf.DUMMYFUNCTION("""COMPUTED_VALUE"""),46114.0)</f>
        <v>46114</v>
      </c>
      <c r="F44" s="4"/>
      <c r="G44" s="4" t="str">
        <f>IFERROR(__xludf.DUMMYFUNCTION("""COMPUTED_VALUE"""),"定員さんの対応")</f>
        <v>定員さんの対応</v>
      </c>
      <c r="H44" s="4" t="str">
        <f>IFERROR(__xludf.DUMMYFUNCTION("""COMPUTED_VALUE"""),"ない")</f>
        <v>ない</v>
      </c>
      <c r="I44" s="4" t="str">
        <f>IFERROR(__xludf.DUMMYFUNCTION("""COMPUTED_VALUE"""),"")</f>
        <v/>
      </c>
      <c r="J44" s="4" t="str">
        <f>IFERROR(__xludf.DUMMYFUNCTION("""COMPUTED_VALUE"""),"定員さんの対応")</f>
        <v>定員さんの対応</v>
      </c>
      <c r="K44" s="20" t="str">
        <f>IFERROR(__xludf.DUMMYFUNCTION("""COMPUTED_VALUE"""),"ない")</f>
        <v>ない</v>
      </c>
      <c r="L44" s="20" t="str">
        <f>IFERROR(__xludf.DUMMYFUNCTION("""COMPUTED_VALUE"""),"Tatsuhiro")</f>
        <v>Tatsuhiro</v>
      </c>
      <c r="N44" s="20" t="b">
        <f>IFERROR(__xludf.DUMMYFUNCTION("""COMPUTED_VALUE"""),FALSE)</f>
        <v>0</v>
      </c>
      <c r="O44" s="21" t="str">
        <f>IFERROR(__xludf.DUMMYFUNCTION("""COMPUTED_VALUE"""),"Booking.com")</f>
        <v>Booking.com</v>
      </c>
      <c r="P44" s="20">
        <f>IFERROR(__xludf.DUMMYFUNCTION("""COMPUTED_VALUE"""),10.0)</f>
        <v>10</v>
      </c>
      <c r="Q44" s="22">
        <f>IFERROR(__xludf.DUMMYFUNCTION("""COMPUTED_VALUE"""),46114.0)</f>
        <v>46114</v>
      </c>
      <c r="R44" s="20"/>
      <c r="S44" s="20" t="str">
        <f>IFERROR(__xludf.DUMMYFUNCTION("""COMPUTED_VALUE"""),"定員さんの対応")</f>
        <v>定員さんの対応</v>
      </c>
      <c r="T44" s="20" t="str">
        <f>IFERROR(__xludf.DUMMYFUNCTION("""COMPUTED_VALUE"""),"ない")</f>
        <v>ない</v>
      </c>
      <c r="U44" s="20" t="str">
        <f>IFERROR(__xludf.DUMMYFUNCTION("""COMPUTED_VALUE"""),"")</f>
        <v/>
      </c>
      <c r="V44" s="20" t="str">
        <f>IFERROR(__xludf.DUMMYFUNCTION("""COMPUTED_VALUE"""),"定員さんの対応")</f>
        <v>定員さんの対応</v>
      </c>
      <c r="W44" s="20" t="str">
        <f>IFERROR(__xludf.DUMMYFUNCTION("""COMPUTED_VALUE"""),"ない")</f>
        <v>ない</v>
      </c>
      <c r="X44" s="20" t="str">
        <f>IFERROR(__xludf.DUMMYFUNCTION("""COMPUTED_VALUE"""),"Tatsuhiro")</f>
        <v>Tatsuhiro</v>
      </c>
    </row>
    <row r="45">
      <c r="B45" s="16" t="b">
        <f>IFERROR(__xludf.DUMMYFUNCTION("""COMPUTED_VALUE"""),FALSE)</f>
        <v>0</v>
      </c>
      <c r="C45" s="4" t="str">
        <f>IFERROR(__xludf.DUMMYFUNCTION("""COMPUTED_VALUE"""),"楽天トラベル")</f>
        <v>楽天トラベル</v>
      </c>
      <c r="D45" s="4">
        <f>IFERROR(__xludf.DUMMYFUNCTION("""COMPUTED_VALUE"""),4.0)</f>
        <v>4</v>
      </c>
      <c r="E45" s="18">
        <f>IFERROR(__xludf.DUMMYFUNCTION("""COMPUTED_VALUE"""),46114.0)</f>
        <v>46114</v>
      </c>
      <c r="F45"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45" s="4"/>
      <c r="H45" s="4"/>
      <c r="I45"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45" s="4" t="str">
        <f>IFERROR(__xludf.DUMMYFUNCTION("""COMPUTED_VALUE"""),"")</f>
        <v/>
      </c>
      <c r="K45" s="20" t="str">
        <f>IFERROR(__xludf.DUMMYFUNCTION("""COMPUTED_VALUE"""),"")</f>
        <v/>
      </c>
      <c r="L45" s="20" t="str">
        <f>IFERROR(__xludf.DUMMYFUNCTION("""COMPUTED_VALUE"""),"りなひめママ")</f>
        <v>りなひめママ</v>
      </c>
      <c r="N45" s="20" t="b">
        <f>IFERROR(__xludf.DUMMYFUNCTION("""COMPUTED_VALUE"""),FALSE)</f>
        <v>0</v>
      </c>
      <c r="O45" s="20" t="str">
        <f>IFERROR(__xludf.DUMMYFUNCTION("""COMPUTED_VALUE"""),"楽天トラベル")</f>
        <v>楽天トラベル</v>
      </c>
      <c r="P45" s="20">
        <f>IFERROR(__xludf.DUMMYFUNCTION("""COMPUTED_VALUE"""),4.0)</f>
        <v>4</v>
      </c>
      <c r="Q45" s="22">
        <f>IFERROR(__xludf.DUMMYFUNCTION("""COMPUTED_VALUE"""),46114.0)</f>
        <v>46114</v>
      </c>
      <c r="R45"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45" s="20"/>
      <c r="T45" s="20"/>
      <c r="U45"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45" s="20" t="str">
        <f>IFERROR(__xludf.DUMMYFUNCTION("""COMPUTED_VALUE"""),"")</f>
        <v/>
      </c>
      <c r="W45" s="20" t="str">
        <f>IFERROR(__xludf.DUMMYFUNCTION("""COMPUTED_VALUE"""),"")</f>
        <v/>
      </c>
      <c r="X45" s="20" t="str">
        <f>IFERROR(__xludf.DUMMYFUNCTION("""COMPUTED_VALUE"""),"りなひめママ")</f>
        <v>りなひめママ</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IFERROR(__xludf.DUMMYFUNCTION("""COMPUTED_VALUE"""),46114.0)</f>
        <v>46114</v>
      </c>
      <c r="F46" s="4"/>
      <c r="G46"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46" s="4"/>
      <c r="I46" s="4" t="str">
        <f>IFERROR(__xludf.DUMMYFUNCTION("""COMPUTED_VALUE"""),"")</f>
        <v/>
      </c>
      <c r="J46"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46" s="20" t="str">
        <f>IFERROR(__xludf.DUMMYFUNCTION("""COMPUTED_VALUE"""),"")</f>
        <v/>
      </c>
      <c r="L46" s="20" t="str">
        <f>IFERROR(__xludf.DUMMYFUNCTION("""COMPUTED_VALUE"""),"Julia")</f>
        <v>Julia</v>
      </c>
      <c r="N46" s="20" t="b">
        <f>IFERROR(__xludf.DUMMYFUNCTION("""COMPUTED_VALUE"""),FALSE)</f>
        <v>0</v>
      </c>
      <c r="O46" s="21" t="str">
        <f>IFERROR(__xludf.DUMMYFUNCTION("""COMPUTED_VALUE"""),"Booking.com")</f>
        <v>Booking.com</v>
      </c>
      <c r="P46" s="20">
        <f>IFERROR(__xludf.DUMMYFUNCTION("""COMPUTED_VALUE"""),10.0)</f>
        <v>10</v>
      </c>
      <c r="Q46" s="22">
        <f>IFERROR(__xludf.DUMMYFUNCTION("""COMPUTED_VALUE"""),46114.0)</f>
        <v>46114</v>
      </c>
      <c r="R46" s="20"/>
      <c r="S46"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46" s="20"/>
      <c r="U46" s="20" t="str">
        <f>IFERROR(__xludf.DUMMYFUNCTION("""COMPUTED_VALUE"""),"")</f>
        <v/>
      </c>
      <c r="V46"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46" s="20" t="str">
        <f>IFERROR(__xludf.DUMMYFUNCTION("""COMPUTED_VALUE"""),"")</f>
        <v/>
      </c>
      <c r="X46" s="20" t="str">
        <f>IFERROR(__xludf.DUMMYFUNCTION("""COMPUTED_VALUE"""),"Julia")</f>
        <v>Julia</v>
      </c>
    </row>
    <row r="47">
      <c r="B47" s="16" t="b">
        <f>IFERROR(__xludf.DUMMYFUNCTION("""COMPUTED_VALUE"""),FALSE)</f>
        <v>0</v>
      </c>
      <c r="C47" s="17" t="str">
        <f>IFERROR(__xludf.DUMMYFUNCTION("""COMPUTED_VALUE"""),"Booking.com")</f>
        <v>Booking.com</v>
      </c>
      <c r="D47" s="4">
        <f>IFERROR(__xludf.DUMMYFUNCTION("""COMPUTED_VALUE"""),8.0)</f>
        <v>8</v>
      </c>
      <c r="E47" s="18">
        <f>IFERROR(__xludf.DUMMYFUNCTION("""COMPUTED_VALUE"""),46113.0)</f>
        <v>46113</v>
      </c>
      <c r="F47" s="4"/>
      <c r="G47" s="4" t="str">
        <f>IFERROR(__xludf.DUMMYFUNCTION("""COMPUTED_VALUE"""),"Huge rooms")</f>
        <v>Huge rooms</v>
      </c>
      <c r="H47" s="4" t="str">
        <f>IFERROR(__xludf.DUMMYFUNCTION("""COMPUTED_VALUE"""),"Breakfast needed more protein selections")</f>
        <v>Breakfast needed more protein selections</v>
      </c>
      <c r="I47" s="4" t="str">
        <f>IFERROR(__xludf.DUMMYFUNCTION("""COMPUTED_VALUE"""),"")</f>
        <v/>
      </c>
      <c r="J47" s="4" t="str">
        <f>IFERROR(__xludf.DUMMYFUNCTION("""COMPUTED_VALUE"""),"広々とした部屋")</f>
        <v>広々とした部屋</v>
      </c>
      <c r="K47" s="20" t="str">
        <f>IFERROR(__xludf.DUMMYFUNCTION("""COMPUTED_VALUE"""),"朝食にはもっとタンパク質の選択肢が必要だった")</f>
        <v>朝食にはもっとタンパク質の選択肢が必要だった</v>
      </c>
      <c r="L47" s="20" t="str">
        <f>IFERROR(__xludf.DUMMYFUNCTION("""COMPUTED_VALUE"""),"James")</f>
        <v>James</v>
      </c>
      <c r="N47" s="20" t="b">
        <f>IFERROR(__xludf.DUMMYFUNCTION("""COMPUTED_VALUE"""),FALSE)</f>
        <v>0</v>
      </c>
      <c r="O47" s="21" t="str">
        <f>IFERROR(__xludf.DUMMYFUNCTION("""COMPUTED_VALUE"""),"Booking.com")</f>
        <v>Booking.com</v>
      </c>
      <c r="P47" s="20">
        <f>IFERROR(__xludf.DUMMYFUNCTION("""COMPUTED_VALUE"""),8.0)</f>
        <v>8</v>
      </c>
      <c r="Q47" s="22">
        <f>IFERROR(__xludf.DUMMYFUNCTION("""COMPUTED_VALUE"""),46113.0)</f>
        <v>46113</v>
      </c>
      <c r="R47" s="20"/>
      <c r="S47" s="20" t="str">
        <f>IFERROR(__xludf.DUMMYFUNCTION("""COMPUTED_VALUE"""),"Huge rooms")</f>
        <v>Huge rooms</v>
      </c>
      <c r="T47" s="20" t="str">
        <f>IFERROR(__xludf.DUMMYFUNCTION("""COMPUTED_VALUE"""),"Breakfast needed more protein selections")</f>
        <v>Breakfast needed more protein selections</v>
      </c>
      <c r="U47" s="20" t="str">
        <f>IFERROR(__xludf.DUMMYFUNCTION("""COMPUTED_VALUE"""),"")</f>
        <v/>
      </c>
      <c r="V47" s="20" t="str">
        <f>IFERROR(__xludf.DUMMYFUNCTION("""COMPUTED_VALUE"""),"広々とした部屋")</f>
        <v>広々とした部屋</v>
      </c>
      <c r="W47" s="20" t="str">
        <f>IFERROR(__xludf.DUMMYFUNCTION("""COMPUTED_VALUE"""),"朝食にはもっとタンパク質の選択肢が必要だった")</f>
        <v>朝食にはもっとタンパク質の選択肢が必要だった</v>
      </c>
      <c r="X47" s="20" t="str">
        <f>IFERROR(__xludf.DUMMYFUNCTION("""COMPUTED_VALUE"""),"James")</f>
        <v>James</v>
      </c>
    </row>
    <row r="48">
      <c r="B48" s="16" t="b">
        <f>IFERROR(__xludf.DUMMYFUNCTION("""COMPUTED_VALUE"""),FALSE)</f>
        <v>0</v>
      </c>
      <c r="C48" s="4" t="str">
        <f>IFERROR(__xludf.DUMMYFUNCTION("""COMPUTED_VALUE"""),"Google")</f>
        <v>Google</v>
      </c>
      <c r="D48" s="4">
        <f>IFERROR(__xludf.DUMMYFUNCTION("""COMPUTED_VALUE"""),4.0)</f>
        <v>4</v>
      </c>
      <c r="E48" s="18">
        <f>IFERROR(__xludf.DUMMYFUNCTION("""COMPUTED_VALUE"""),46113.0)</f>
        <v>46113</v>
      </c>
      <c r="F48" s="4"/>
      <c r="G48" s="4"/>
      <c r="H48" s="4"/>
      <c r="I48" s="4" t="str">
        <f>IFERROR(__xludf.DUMMYFUNCTION("""COMPUTED_VALUE"""),"")</f>
        <v/>
      </c>
      <c r="J48" s="4" t="str">
        <f>IFERROR(__xludf.DUMMYFUNCTION("""COMPUTED_VALUE"""),"")</f>
        <v/>
      </c>
      <c r="K48" s="20" t="str">
        <f>IFERROR(__xludf.DUMMYFUNCTION("""COMPUTED_VALUE"""),"")</f>
        <v/>
      </c>
      <c r="L48" s="20" t="str">
        <f>IFERROR(__xludf.DUMMYFUNCTION("""COMPUTED_VALUE"""),"minipin1")</f>
        <v>minipin1</v>
      </c>
      <c r="N48" s="20" t="b">
        <f>IFERROR(__xludf.DUMMYFUNCTION("""COMPUTED_VALUE"""),FALSE)</f>
        <v>0</v>
      </c>
      <c r="O48" s="20" t="str">
        <f>IFERROR(__xludf.DUMMYFUNCTION("""COMPUTED_VALUE"""),"Google")</f>
        <v>Google</v>
      </c>
      <c r="P48" s="20">
        <f>IFERROR(__xludf.DUMMYFUNCTION("""COMPUTED_VALUE"""),4.0)</f>
        <v>4</v>
      </c>
      <c r="Q48" s="22">
        <f>IFERROR(__xludf.DUMMYFUNCTION("""COMPUTED_VALUE"""),46113.0)</f>
        <v>46113</v>
      </c>
      <c r="R48" s="20"/>
      <c r="S48" s="20"/>
      <c r="T48" s="20"/>
      <c r="U48" s="20" t="str">
        <f>IFERROR(__xludf.DUMMYFUNCTION("""COMPUTED_VALUE"""),"")</f>
        <v/>
      </c>
      <c r="V48" s="20" t="str">
        <f>IFERROR(__xludf.DUMMYFUNCTION("""COMPUTED_VALUE"""),"")</f>
        <v/>
      </c>
      <c r="W48" s="20" t="str">
        <f>IFERROR(__xludf.DUMMYFUNCTION("""COMPUTED_VALUE"""),"")</f>
        <v/>
      </c>
      <c r="X48" s="20" t="str">
        <f>IFERROR(__xludf.DUMMYFUNCTION("""COMPUTED_VALUE"""),"minipin1")</f>
        <v>minipin1</v>
      </c>
    </row>
    <row r="49">
      <c r="B49" s="16" t="b">
        <f>IFERROR(__xludf.DUMMYFUNCTION("""COMPUTED_VALUE"""),FALSE)</f>
        <v>0</v>
      </c>
      <c r="C49" s="4" t="str">
        <f>IFERROR(__xludf.DUMMYFUNCTION("""COMPUTED_VALUE"""),"楽天トラベル")</f>
        <v>楽天トラベル</v>
      </c>
      <c r="D49" s="4">
        <f>IFERROR(__xludf.DUMMYFUNCTION("""COMPUTED_VALUE"""),5.0)</f>
        <v>5</v>
      </c>
      <c r="E49" s="18">
        <f>IFERROR(__xludf.DUMMYFUNCTION("""COMPUTED_VALUE"""),46113.0)</f>
        <v>46113</v>
      </c>
      <c r="F49"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49" s="4"/>
      <c r="H49" s="4"/>
      <c r="I49"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49" s="4" t="str">
        <f>IFERROR(__xludf.DUMMYFUNCTION("""COMPUTED_VALUE"""),"")</f>
        <v/>
      </c>
      <c r="K49" s="20" t="str">
        <f>IFERROR(__xludf.DUMMYFUNCTION("""COMPUTED_VALUE"""),"")</f>
        <v/>
      </c>
      <c r="L49" s="20" t="str">
        <f>IFERROR(__xludf.DUMMYFUNCTION("""COMPUTED_VALUE"""),"ゆきうさぎ⭐︎")</f>
        <v>ゆきうさぎ⭐︎</v>
      </c>
      <c r="N49" s="20" t="b">
        <f>IFERROR(__xludf.DUMMYFUNCTION("""COMPUTED_VALUE"""),FALSE)</f>
        <v>0</v>
      </c>
      <c r="O49" s="20" t="str">
        <f>IFERROR(__xludf.DUMMYFUNCTION("""COMPUTED_VALUE"""),"楽天トラベル")</f>
        <v>楽天トラベル</v>
      </c>
      <c r="P49" s="20">
        <f>IFERROR(__xludf.DUMMYFUNCTION("""COMPUTED_VALUE"""),5.0)</f>
        <v>5</v>
      </c>
      <c r="Q49" s="22">
        <f>IFERROR(__xludf.DUMMYFUNCTION("""COMPUTED_VALUE"""),46113.0)</f>
        <v>46113</v>
      </c>
      <c r="R49"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49" s="20"/>
      <c r="T49" s="20"/>
      <c r="U49"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49" s="20" t="str">
        <f>IFERROR(__xludf.DUMMYFUNCTION("""COMPUTED_VALUE"""),"")</f>
        <v/>
      </c>
      <c r="W49" s="20" t="str">
        <f>IFERROR(__xludf.DUMMYFUNCTION("""COMPUTED_VALUE"""),"")</f>
        <v/>
      </c>
      <c r="X49" s="20" t="str">
        <f>IFERROR(__xludf.DUMMYFUNCTION("""COMPUTED_VALUE"""),"ゆきうさぎ⭐︎")</f>
        <v>ゆきうさぎ⭐︎</v>
      </c>
    </row>
    <row r="50">
      <c r="B50" s="16" t="b">
        <f>IFERROR(__xludf.DUMMYFUNCTION("""COMPUTED_VALUE"""),FALSE)</f>
        <v>0</v>
      </c>
      <c r="C50" s="4" t="str">
        <f>IFERROR(__xludf.DUMMYFUNCTION("""COMPUTED_VALUE"""),"じゃらん")</f>
        <v>じゃらん</v>
      </c>
      <c r="D50" s="4">
        <f>IFERROR(__xludf.DUMMYFUNCTION("""COMPUTED_VALUE"""),4.0)</f>
        <v>4</v>
      </c>
      <c r="E50" s="18">
        <f>IFERROR(__xludf.DUMMYFUNCTION("""COMPUTED_VALUE"""),46113.0)</f>
        <v>46113</v>
      </c>
      <c r="F50"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50" s="4"/>
      <c r="H50" s="4"/>
      <c r="I50"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50" s="4" t="str">
        <f>IFERROR(__xludf.DUMMYFUNCTION("""COMPUTED_VALUE"""),"")</f>
        <v/>
      </c>
      <c r="K50" s="20" t="str">
        <f>IFERROR(__xludf.DUMMYFUNCTION("""COMPUTED_VALUE"""),"")</f>
        <v/>
      </c>
      <c r="L50" s="20" t="str">
        <f>IFERROR(__xludf.DUMMYFUNCTION("""COMPUTED_VALUE"""),"ともさん")</f>
        <v>ともさん</v>
      </c>
      <c r="N50" s="20" t="b">
        <f>IFERROR(__xludf.DUMMYFUNCTION("""COMPUTED_VALUE"""),FALSE)</f>
        <v>0</v>
      </c>
      <c r="O50" s="20" t="str">
        <f>IFERROR(__xludf.DUMMYFUNCTION("""COMPUTED_VALUE"""),"じゃらん")</f>
        <v>じゃらん</v>
      </c>
      <c r="P50" s="20">
        <f>IFERROR(__xludf.DUMMYFUNCTION("""COMPUTED_VALUE"""),4.0)</f>
        <v>4</v>
      </c>
      <c r="Q50" s="22">
        <f>IFERROR(__xludf.DUMMYFUNCTION("""COMPUTED_VALUE"""),46113.0)</f>
        <v>46113</v>
      </c>
      <c r="R50"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50" s="20"/>
      <c r="T50" s="20"/>
      <c r="U50"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50" s="20" t="str">
        <f>IFERROR(__xludf.DUMMYFUNCTION("""COMPUTED_VALUE"""),"")</f>
        <v/>
      </c>
      <c r="W50" s="20" t="str">
        <f>IFERROR(__xludf.DUMMYFUNCTION("""COMPUTED_VALUE"""),"")</f>
        <v/>
      </c>
      <c r="X50" s="20" t="str">
        <f>IFERROR(__xludf.DUMMYFUNCTION("""COMPUTED_VALUE"""),"ともさん")</f>
        <v>ともさん</v>
      </c>
    </row>
    <row r="51">
      <c r="B51" s="16" t="b">
        <f>IFERROR(__xludf.DUMMYFUNCTION("""COMPUTED_VALUE"""),FALSE)</f>
        <v>0</v>
      </c>
      <c r="C51" s="17" t="str">
        <f>IFERROR(__xludf.DUMMYFUNCTION("""COMPUTED_VALUE"""),"Trip.com")</f>
        <v>Trip.com</v>
      </c>
      <c r="D51" s="4">
        <f>IFERROR(__xludf.DUMMYFUNCTION("""COMPUTED_VALUE"""),10.0)</f>
        <v>10</v>
      </c>
      <c r="E51" s="18">
        <f>IFERROR(__xludf.DUMMYFUNCTION("""COMPUTED_VALUE"""),46112.0)</f>
        <v>46112</v>
      </c>
      <c r="F51"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51" s="4"/>
      <c r="H51" s="4"/>
      <c r="I51"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51" s="4" t="str">
        <f>IFERROR(__xludf.DUMMYFUNCTION("""COMPUTED_VALUE"""),"")</f>
        <v/>
      </c>
      <c r="K51" s="20" t="str">
        <f>IFERROR(__xludf.DUMMYFUNCTION("""COMPUTED_VALUE"""),"")</f>
        <v/>
      </c>
      <c r="L51" s="20" t="str">
        <f>IFERROR(__xludf.DUMMYFUNCTION("""COMPUTED_VALUE"""),"ゲ‍ス‍ト")</f>
        <v>ゲ‍ス‍ト</v>
      </c>
      <c r="N51" s="20"/>
      <c r="O51" s="20"/>
      <c r="P51" s="20"/>
      <c r="Q51" s="20"/>
      <c r="R51" s="20"/>
      <c r="S51" s="20"/>
      <c r="T51" s="20"/>
      <c r="U51" s="20"/>
      <c r="V51" s="20"/>
      <c r="W51" s="20"/>
      <c r="X51" s="20"/>
    </row>
    <row r="52">
      <c r="B52" s="16" t="b">
        <f>IFERROR(__xludf.DUMMYFUNCTION("""COMPUTED_VALUE"""),FALSE)</f>
        <v>0</v>
      </c>
      <c r="C52" s="17" t="str">
        <f>IFERROR(__xludf.DUMMYFUNCTION("""COMPUTED_VALUE"""),"Booking.com")</f>
        <v>Booking.com</v>
      </c>
      <c r="D52" s="4">
        <f>IFERROR(__xludf.DUMMYFUNCTION("""COMPUTED_VALUE"""),8.0)</f>
        <v>8</v>
      </c>
      <c r="E52" s="18">
        <f>IFERROR(__xludf.DUMMYFUNCTION("""COMPUTED_VALUE"""),46112.0)</f>
        <v>46112</v>
      </c>
      <c r="F52" s="4"/>
      <c r="G52" s="4" t="str">
        <f>IFERROR(__xludf.DUMMYFUNCTION("""COMPUTED_VALUE"""),"お風呂、トイレが分かれており大変良かった  Wベットで広々して良かった")</f>
        <v>お風呂、トイレが分かれており大変良かった  Wベットで広々して良かった</v>
      </c>
      <c r="H52" s="4"/>
      <c r="I52" s="4" t="str">
        <f>IFERROR(__xludf.DUMMYFUNCTION("""COMPUTED_VALUE"""),"")</f>
        <v/>
      </c>
      <c r="J52" s="4" t="str">
        <f>IFERROR(__xludf.DUMMYFUNCTION("""COMPUTED_VALUE"""),"お風呂、トイレが分かれており大変良かった  Wベットで広々して良かった")</f>
        <v>お風呂、トイレが分かれており大変良かった  Wベットで広々して良かった</v>
      </c>
      <c r="K52" s="20" t="str">
        <f>IFERROR(__xludf.DUMMYFUNCTION("""COMPUTED_VALUE"""),"")</f>
        <v/>
      </c>
      <c r="L52" s="20" t="str">
        <f>IFERROR(__xludf.DUMMYFUNCTION("""COMPUTED_VALUE"""),"Yuko")</f>
        <v>Yuko</v>
      </c>
      <c r="N52" s="20"/>
      <c r="O52" s="20"/>
      <c r="P52" s="20"/>
      <c r="Q52" s="20"/>
      <c r="R52" s="20"/>
      <c r="S52" s="20"/>
      <c r="T52" s="20"/>
      <c r="U52" s="20"/>
      <c r="V52" s="20"/>
      <c r="W52" s="20"/>
      <c r="X52" s="20"/>
    </row>
    <row r="53">
      <c r="B53" s="16" t="b">
        <f>IFERROR(__xludf.DUMMYFUNCTION("""COMPUTED_VALUE"""),FALSE)</f>
        <v>0</v>
      </c>
      <c r="C53" s="4" t="str">
        <f>IFERROR(__xludf.DUMMYFUNCTION("""COMPUTED_VALUE"""),"楽天トラベル")</f>
        <v>楽天トラベル</v>
      </c>
      <c r="D53" s="4">
        <f>IFERROR(__xludf.DUMMYFUNCTION("""COMPUTED_VALUE"""),5.0)</f>
        <v>5</v>
      </c>
      <c r="E53" s="18">
        <f>IFERROR(__xludf.DUMMYFUNCTION("""COMPUTED_VALUE"""),46112.0)</f>
        <v>46112</v>
      </c>
      <c r="F53"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53" s="4"/>
      <c r="H53" s="4"/>
      <c r="I53"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53" s="4" t="str">
        <f>IFERROR(__xludf.DUMMYFUNCTION("""COMPUTED_VALUE"""),"")</f>
        <v/>
      </c>
      <c r="K53" s="20" t="str">
        <f>IFERROR(__xludf.DUMMYFUNCTION("""COMPUTED_VALUE"""),"")</f>
        <v/>
      </c>
      <c r="L53" s="20" t="str">
        <f>IFERROR(__xludf.DUMMYFUNCTION("""COMPUTED_VALUE"""),"まちまちママ")</f>
        <v>まちまちママ</v>
      </c>
      <c r="N53" s="20"/>
      <c r="O53" s="20"/>
      <c r="P53" s="20"/>
      <c r="Q53" s="20"/>
      <c r="R53" s="20"/>
      <c r="S53" s="20"/>
      <c r="T53" s="20"/>
      <c r="U53" s="20"/>
      <c r="V53" s="20"/>
      <c r="W53" s="20"/>
      <c r="X53" s="20"/>
    </row>
    <row r="54">
      <c r="B54" s="16" t="b">
        <f>IFERROR(__xludf.DUMMYFUNCTION("""COMPUTED_VALUE"""),FALSE)</f>
        <v>0</v>
      </c>
      <c r="C54" s="4" t="str">
        <f>IFERROR(__xludf.DUMMYFUNCTION("""COMPUTED_VALUE"""),"Agoda")</f>
        <v>Agoda</v>
      </c>
      <c r="D54" s="4">
        <f>IFERROR(__xludf.DUMMYFUNCTION("""COMPUTED_VALUE"""),8.0)</f>
        <v>8</v>
      </c>
      <c r="E54" s="18">
        <f>IFERROR(__xludf.DUMMYFUNCTION("""COMPUTED_VALUE"""),46112.0)</f>
        <v>46112</v>
      </c>
      <c r="F54" s="4"/>
      <c r="G54" s="4" t="str">
        <f>IFERROR(__xludf.DUMMYFUNCTION("""COMPUTED_VALUE"""),"お風呂、トイレが分かれており大変良かった  Wベットで広々して良かった")</f>
        <v>お風呂、トイレが分かれており大変良かった  Wベットで広々して良かった</v>
      </c>
      <c r="H54" s="4"/>
      <c r="I54" s="4" t="str">
        <f>IFERROR(__xludf.DUMMYFUNCTION("""COMPUTED_VALUE"""),"")</f>
        <v/>
      </c>
      <c r="J54" s="4" t="str">
        <f>IFERROR(__xludf.DUMMYFUNCTION("""COMPUTED_VALUE"""),"お風呂、トイレが分かれており大変良かった  Wベットで広々して良かった")</f>
        <v>お風呂、トイレが分かれており大変良かった  Wベットで広々して良かった</v>
      </c>
      <c r="K54" s="20" t="str">
        <f>IFERROR(__xludf.DUMMYFUNCTION("""COMPUTED_VALUE"""),"")</f>
        <v/>
      </c>
      <c r="L54" s="20" t="str">
        <f>IFERROR(__xludf.DUMMYFUNCTION("""COMPUTED_VALUE"""),"Yuko")</f>
        <v>Yuko</v>
      </c>
      <c r="N54" s="20"/>
      <c r="O54" s="20"/>
      <c r="P54" s="20"/>
      <c r="Q54" s="20"/>
      <c r="R54" s="20"/>
      <c r="S54" s="20"/>
      <c r="T54" s="20"/>
      <c r="U54" s="20"/>
      <c r="V54" s="20"/>
      <c r="W54" s="20"/>
      <c r="X54" s="20"/>
    </row>
    <row r="55">
      <c r="B55" s="16" t="b">
        <f>IFERROR(__xludf.DUMMYFUNCTION("""COMPUTED_VALUE"""),FALSE)</f>
        <v>0</v>
      </c>
      <c r="C55" s="4" t="str">
        <f>IFERROR(__xludf.DUMMYFUNCTION("""COMPUTED_VALUE"""),"じゃらん")</f>
        <v>じゃらん</v>
      </c>
      <c r="D55" s="4">
        <f>IFERROR(__xludf.DUMMYFUNCTION("""COMPUTED_VALUE"""),2.0)</f>
        <v>2</v>
      </c>
      <c r="E55" s="18">
        <f>IFERROR(__xludf.DUMMYFUNCTION("""COMPUTED_VALUE"""),46112.0)</f>
        <v>46112</v>
      </c>
      <c r="F55"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55" s="4"/>
      <c r="H55" s="4"/>
      <c r="I55"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55" s="4" t="str">
        <f>IFERROR(__xludf.DUMMYFUNCTION("""COMPUTED_VALUE"""),"")</f>
        <v/>
      </c>
      <c r="K55" s="20" t="str">
        <f>IFERROR(__xludf.DUMMYFUNCTION("""COMPUTED_VALUE"""),"")</f>
        <v/>
      </c>
      <c r="L55" s="20" t="str">
        <f>IFERROR(__xludf.DUMMYFUNCTION("""COMPUTED_VALUE"""),"タッキーさん")</f>
        <v>タッキーさん</v>
      </c>
      <c r="N55" s="20"/>
      <c r="O55" s="20"/>
      <c r="P55" s="20"/>
      <c r="Q55" s="20"/>
      <c r="R55" s="20"/>
      <c r="S55" s="20"/>
      <c r="T55" s="20"/>
      <c r="U55" s="20"/>
      <c r="V55" s="20"/>
      <c r="W55" s="20"/>
      <c r="X55" s="20"/>
    </row>
    <row r="56">
      <c r="B56" s="16" t="b">
        <f>IFERROR(__xludf.DUMMYFUNCTION("""COMPUTED_VALUE"""),FALSE)</f>
        <v>0</v>
      </c>
      <c r="C56" s="17" t="str">
        <f>IFERROR(__xludf.DUMMYFUNCTION("""COMPUTED_VALUE"""),"Trip.com")</f>
        <v>Trip.com</v>
      </c>
      <c r="D56" s="4">
        <f>IFERROR(__xludf.DUMMYFUNCTION("""COMPUTED_VALUE"""),6.0)</f>
        <v>6</v>
      </c>
      <c r="E56" s="18">
        <f>IFERROR(__xludf.DUMMYFUNCTION("""COMPUTED_VALUE"""),46111.0)</f>
        <v>46111</v>
      </c>
      <c r="F56"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56" s="4"/>
      <c r="H56" s="4"/>
      <c r="I56"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56" s="4" t="str">
        <f>IFERROR(__xludf.DUMMYFUNCTION("""COMPUTED_VALUE"""),"")</f>
        <v/>
      </c>
      <c r="K56" s="20" t="str">
        <f>IFERROR(__xludf.DUMMYFUNCTION("""COMPUTED_VALUE"""),"")</f>
        <v/>
      </c>
      <c r="L56" s="20" t="str">
        <f>IFERROR(__xludf.DUMMYFUNCTION("""COMPUTED_VALUE"""),"x‍x‍x‍s‍a‍k‍k‍x‍x‍x")</f>
        <v>x‍x‍x‍s‍a‍k‍k‍x‍x‍x</v>
      </c>
      <c r="N56" s="20"/>
      <c r="O56" s="20"/>
      <c r="P56" s="20"/>
      <c r="Q56" s="20"/>
      <c r="R56" s="20"/>
      <c r="S56" s="20"/>
      <c r="T56" s="20"/>
      <c r="U56" s="20"/>
      <c r="V56" s="20"/>
      <c r="W56" s="20"/>
      <c r="X56" s="20"/>
    </row>
    <row r="57">
      <c r="B57" s="16" t="b">
        <f>IFERROR(__xludf.DUMMYFUNCTION("""COMPUTED_VALUE"""),FALSE)</f>
        <v>0</v>
      </c>
      <c r="C57" s="4" t="str">
        <f>IFERROR(__xludf.DUMMYFUNCTION("""COMPUTED_VALUE"""),"楽天トラベル")</f>
        <v>楽天トラベル</v>
      </c>
      <c r="D57" s="4">
        <f>IFERROR(__xludf.DUMMYFUNCTION("""COMPUTED_VALUE"""),4.0)</f>
        <v>4</v>
      </c>
      <c r="E57" s="18">
        <f>IFERROR(__xludf.DUMMYFUNCTION("""COMPUTED_VALUE"""),46111.0)</f>
        <v>46111</v>
      </c>
      <c r="F57"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57" s="4"/>
      <c r="H57" s="4"/>
      <c r="I57"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57" s="4" t="str">
        <f>IFERROR(__xludf.DUMMYFUNCTION("""COMPUTED_VALUE"""),"")</f>
        <v/>
      </c>
      <c r="K57" s="20" t="str">
        <f>IFERROR(__xludf.DUMMYFUNCTION("""COMPUTED_VALUE"""),"")</f>
        <v/>
      </c>
      <c r="L57" s="20" t="str">
        <f>IFERROR(__xludf.DUMMYFUNCTION("""COMPUTED_VALUE"""),"ハユ2680")</f>
        <v>ハユ2680</v>
      </c>
      <c r="N57" s="20"/>
      <c r="O57" s="20"/>
      <c r="P57" s="20"/>
      <c r="Q57" s="20"/>
      <c r="R57" s="20"/>
      <c r="S57" s="20"/>
      <c r="T57" s="20"/>
      <c r="U57" s="20"/>
      <c r="V57" s="20"/>
      <c r="W57" s="20"/>
      <c r="X57" s="20"/>
    </row>
    <row r="58">
      <c r="B58" s="4" t="b">
        <f>IFERROR(__xludf.DUMMYFUNCTION("""COMPUTED_VALUE"""),FALSE)</f>
        <v>0</v>
      </c>
      <c r="C58" s="17" t="str">
        <f>IFERROR(__xludf.DUMMYFUNCTION("""COMPUTED_VALUE"""),"Booking.com")</f>
        <v>Booking.com</v>
      </c>
      <c r="D58" s="4">
        <f>IFERROR(__xludf.DUMMYFUNCTION("""COMPUTED_VALUE"""),10.0)</f>
        <v>10</v>
      </c>
      <c r="E58" s="18">
        <f>IFERROR(__xludf.DUMMYFUNCTION("""COMPUTED_VALUE"""),46111.0)</f>
        <v>46111</v>
      </c>
      <c r="F58" s="4"/>
      <c r="G58" s="4"/>
      <c r="H58" s="4"/>
      <c r="I58" s="4" t="str">
        <f>IFERROR(__xludf.DUMMYFUNCTION("""COMPUTED_VALUE"""),"")</f>
        <v/>
      </c>
      <c r="J58" s="4" t="str">
        <f>IFERROR(__xludf.DUMMYFUNCTION("""COMPUTED_VALUE"""),"")</f>
        <v/>
      </c>
      <c r="K58" s="20" t="str">
        <f>IFERROR(__xludf.DUMMYFUNCTION("""COMPUTED_VALUE"""),"")</f>
        <v/>
      </c>
      <c r="L58" s="20" t="str">
        <f>IFERROR(__xludf.DUMMYFUNCTION("""COMPUTED_VALUE"""),"稲辺")</f>
        <v>稲辺</v>
      </c>
      <c r="N58" s="20"/>
      <c r="O58" s="20"/>
      <c r="P58" s="20"/>
      <c r="Q58" s="20"/>
      <c r="R58" s="20"/>
      <c r="S58" s="20"/>
      <c r="T58" s="20"/>
      <c r="U58" s="20"/>
      <c r="V58" s="20"/>
      <c r="W58" s="20"/>
      <c r="X58" s="20"/>
    </row>
    <row r="59">
      <c r="B59" s="4" t="b">
        <f>IFERROR(__xludf.DUMMYFUNCTION("""COMPUTED_VALUE"""),FALSE)</f>
        <v>0</v>
      </c>
      <c r="C59" s="4" t="str">
        <f>IFERROR(__xludf.DUMMYFUNCTION("""COMPUTED_VALUE"""),"Google")</f>
        <v>Google</v>
      </c>
      <c r="D59" s="4">
        <f>IFERROR(__xludf.DUMMYFUNCTION("""COMPUTED_VALUE"""),5.0)</f>
        <v>5</v>
      </c>
      <c r="E59" s="18">
        <f>IFERROR(__xludf.DUMMYFUNCTION("""COMPUTED_VALUE"""),46110.0)</f>
        <v>46110</v>
      </c>
      <c r="F59"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59" s="4"/>
      <c r="H59" s="4"/>
      <c r="I59"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59" s="4" t="str">
        <f>IFERROR(__xludf.DUMMYFUNCTION("""COMPUTED_VALUE"""),"")</f>
        <v/>
      </c>
      <c r="K59" s="20" t="str">
        <f>IFERROR(__xludf.DUMMYFUNCTION("""COMPUTED_VALUE"""),"")</f>
        <v/>
      </c>
      <c r="L59" s="20" t="str">
        <f>IFERROR(__xludf.DUMMYFUNCTION("""COMPUTED_VALUE"""),"Minguk Kim")</f>
        <v>Minguk Kim</v>
      </c>
      <c r="N59" s="20"/>
      <c r="O59" s="20"/>
      <c r="P59" s="20"/>
      <c r="Q59" s="20"/>
      <c r="R59" s="20"/>
      <c r="S59" s="20"/>
      <c r="T59" s="20"/>
      <c r="U59" s="20"/>
      <c r="V59" s="20"/>
      <c r="W59" s="20"/>
      <c r="X59" s="20"/>
    </row>
    <row r="60">
      <c r="B60" s="4" t="b">
        <f>IFERROR(__xludf.DUMMYFUNCTION("""COMPUTED_VALUE"""),FALSE)</f>
        <v>0</v>
      </c>
      <c r="C60" s="17" t="str">
        <f>IFERROR(__xludf.DUMMYFUNCTION("""COMPUTED_VALUE"""),"Trip.com")</f>
        <v>Trip.com</v>
      </c>
      <c r="D60" s="4">
        <f>IFERROR(__xludf.DUMMYFUNCTION("""COMPUTED_VALUE"""),10.0)</f>
        <v>10</v>
      </c>
      <c r="E60" s="18">
        <f>IFERROR(__xludf.DUMMYFUNCTION("""COMPUTED_VALUE"""),46110.0)</f>
        <v>46110</v>
      </c>
      <c r="F60" s="4" t="str">
        <f>IFERROR(__xludf.DUMMYFUNCTION("""COMPUTED_VALUE"""),"部屋は広い ベットはふかふか！")</f>
        <v>部屋は広い ベットはふかふか！</v>
      </c>
      <c r="G60" s="4"/>
      <c r="H60" s="4"/>
      <c r="I60" s="4" t="str">
        <f>IFERROR(__xludf.DUMMYFUNCTION("""COMPUTED_VALUE"""),"部屋は広い ベットはふかふか！")</f>
        <v>部屋は広い ベットはふかふか！</v>
      </c>
      <c r="J60" s="4" t="str">
        <f>IFERROR(__xludf.DUMMYFUNCTION("""COMPUTED_VALUE"""),"")</f>
        <v/>
      </c>
      <c r="K60" s="20" t="str">
        <f>IFERROR(__xludf.DUMMYFUNCTION("""COMPUTED_VALUE"""),"")</f>
        <v/>
      </c>
      <c r="L60" s="20" t="str">
        <f>IFERROR(__xludf.DUMMYFUNCTION("""COMPUTED_VALUE"""),"ゲ‍ス‍ト")</f>
        <v>ゲ‍ス‍ト</v>
      </c>
      <c r="N60" s="20"/>
      <c r="O60" s="20"/>
      <c r="P60" s="20"/>
      <c r="Q60" s="20"/>
      <c r="R60" s="20"/>
      <c r="S60" s="20"/>
      <c r="T60" s="20"/>
      <c r="U60" s="20"/>
      <c r="V60" s="20"/>
      <c r="W60" s="20"/>
      <c r="X60" s="20"/>
    </row>
    <row r="61">
      <c r="B61" s="4" t="b">
        <f>IFERROR(__xludf.DUMMYFUNCTION("""COMPUTED_VALUE"""),FALSE)</f>
        <v>0</v>
      </c>
      <c r="C61" s="17" t="str">
        <f>IFERROR(__xludf.DUMMYFUNCTION("""COMPUTED_VALUE"""),"Trip.com")</f>
        <v>Trip.com</v>
      </c>
      <c r="D61" s="4">
        <f>IFERROR(__xludf.DUMMYFUNCTION("""COMPUTED_VALUE"""),10.0)</f>
        <v>10</v>
      </c>
      <c r="E61" s="18">
        <f>IFERROR(__xludf.DUMMYFUNCTION("""COMPUTED_VALUE"""),46110.0)</f>
        <v>46110</v>
      </c>
      <c r="F61"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61" s="4"/>
      <c r="H61" s="4"/>
      <c r="I61"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61" s="4" t="str">
        <f>IFERROR(__xludf.DUMMYFUNCTION("""COMPUTED_VALUE"""),"")</f>
        <v/>
      </c>
      <c r="K61" s="20" t="str">
        <f>IFERROR(__xludf.DUMMYFUNCTION("""COMPUTED_VALUE"""),"")</f>
        <v/>
      </c>
      <c r="L61" s="20" t="str">
        <f>IFERROR(__xludf.DUMMYFUNCTION("""COMPUTED_VALUE"""),"a‍y‍a‍y‍a‍y")</f>
        <v>a‍y‍a‍y‍a‍y</v>
      </c>
      <c r="N61" s="20"/>
      <c r="O61" s="20"/>
      <c r="P61" s="20"/>
      <c r="Q61" s="20"/>
      <c r="R61" s="20"/>
      <c r="S61" s="20"/>
      <c r="T61" s="20"/>
      <c r="U61" s="20"/>
      <c r="V61" s="20"/>
      <c r="W61" s="20"/>
      <c r="X61" s="20"/>
    </row>
    <row r="62">
      <c r="B62" s="4" t="b">
        <f>IFERROR(__xludf.DUMMYFUNCTION("""COMPUTED_VALUE"""),FALSE)</f>
        <v>0</v>
      </c>
      <c r="C62" s="4" t="str">
        <f>IFERROR(__xludf.DUMMYFUNCTION("""COMPUTED_VALUE"""),"楽天トラベル")</f>
        <v>楽天トラベル</v>
      </c>
      <c r="D62" s="4">
        <f>IFERROR(__xludf.DUMMYFUNCTION("""COMPUTED_VALUE"""),5.0)</f>
        <v>5</v>
      </c>
      <c r="E62" s="18">
        <f>IFERROR(__xludf.DUMMYFUNCTION("""COMPUTED_VALUE"""),46110.0)</f>
        <v>46110</v>
      </c>
      <c r="F62"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62" s="4"/>
      <c r="H62" s="4"/>
      <c r="I62"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62" s="4" t="str">
        <f>IFERROR(__xludf.DUMMYFUNCTION("""COMPUTED_VALUE"""),"")</f>
        <v/>
      </c>
      <c r="K62" s="20" t="str">
        <f>IFERROR(__xludf.DUMMYFUNCTION("""COMPUTED_VALUE"""),"")</f>
        <v/>
      </c>
      <c r="L62" s="20" t="str">
        <f>IFERROR(__xludf.DUMMYFUNCTION("""COMPUTED_VALUE"""),"ブルーベリー999")</f>
        <v>ブルーベリー999</v>
      </c>
      <c r="N62" s="20"/>
      <c r="O62" s="20"/>
      <c r="P62" s="20"/>
      <c r="Q62" s="20"/>
      <c r="R62" s="20"/>
      <c r="S62" s="20"/>
      <c r="T62" s="20"/>
      <c r="U62" s="20"/>
      <c r="V62" s="20"/>
      <c r="W62" s="20"/>
      <c r="X62" s="20"/>
    </row>
    <row r="63">
      <c r="B63" s="4" t="b">
        <f>IFERROR(__xludf.DUMMYFUNCTION("""COMPUTED_VALUE"""),FALSE)</f>
        <v>0</v>
      </c>
      <c r="C63" s="4" t="str">
        <f>IFERROR(__xludf.DUMMYFUNCTION("""COMPUTED_VALUE"""),"Google")</f>
        <v>Google</v>
      </c>
      <c r="D63" s="4">
        <f>IFERROR(__xludf.DUMMYFUNCTION("""COMPUTED_VALUE"""),5.0)</f>
        <v>5</v>
      </c>
      <c r="E63" s="18">
        <f>IFERROR(__xludf.DUMMYFUNCTION("""COMPUTED_VALUE"""),46110.0)</f>
        <v>46110</v>
      </c>
      <c r="F63"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63" s="4"/>
      <c r="H63" s="4"/>
      <c r="I63"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63" s="4" t="str">
        <f>IFERROR(__xludf.DUMMYFUNCTION("""COMPUTED_VALUE"""),"")</f>
        <v/>
      </c>
      <c r="K63" s="20" t="str">
        <f>IFERROR(__xludf.DUMMYFUNCTION("""COMPUTED_VALUE"""),"")</f>
        <v/>
      </c>
      <c r="L63" s="20" t="str">
        <f>IFERROR(__xludf.DUMMYFUNCTION("""COMPUTED_VALUE"""),"Minguk Kim")</f>
        <v>Minguk Kim</v>
      </c>
      <c r="N63" s="20"/>
      <c r="O63" s="20"/>
      <c r="P63" s="20"/>
      <c r="Q63" s="20"/>
      <c r="R63" s="20"/>
      <c r="S63" s="20"/>
      <c r="T63" s="20"/>
      <c r="U63" s="20"/>
      <c r="V63" s="20"/>
      <c r="W63" s="20"/>
      <c r="X63" s="20"/>
    </row>
    <row r="64">
      <c r="B64" s="4" t="b">
        <f>IFERROR(__xludf.DUMMYFUNCTION("""COMPUTED_VALUE"""),FALSE)</f>
        <v>0</v>
      </c>
      <c r="C64" s="4" t="str">
        <f>IFERROR(__xludf.DUMMYFUNCTION("""COMPUTED_VALUE"""),"じゃらん")</f>
        <v>じゃらん</v>
      </c>
      <c r="D64" s="4">
        <f>IFERROR(__xludf.DUMMYFUNCTION("""COMPUTED_VALUE"""),5.0)</f>
        <v>5</v>
      </c>
      <c r="E64" s="18">
        <f>IFERROR(__xludf.DUMMYFUNCTION("""COMPUTED_VALUE"""),46110.0)</f>
        <v>46110</v>
      </c>
      <c r="F64"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64" s="4"/>
      <c r="H64" s="4"/>
      <c r="I64"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64" s="4" t="str">
        <f>IFERROR(__xludf.DUMMYFUNCTION("""COMPUTED_VALUE"""),"")</f>
        <v/>
      </c>
      <c r="K64" s="20" t="str">
        <f>IFERROR(__xludf.DUMMYFUNCTION("""COMPUTED_VALUE"""),"")</f>
        <v/>
      </c>
      <c r="L64" s="20" t="str">
        <f>IFERROR(__xludf.DUMMYFUNCTION("""COMPUTED_VALUE"""),"まりたんさん")</f>
        <v>まりたんさん</v>
      </c>
      <c r="N64" s="20"/>
      <c r="O64" s="20"/>
      <c r="P64" s="20"/>
      <c r="Q64" s="20"/>
      <c r="R64" s="20"/>
      <c r="S64" s="20"/>
      <c r="T64" s="20"/>
      <c r="U64" s="20"/>
      <c r="V64" s="20"/>
      <c r="W64" s="20"/>
      <c r="X64" s="20"/>
    </row>
    <row r="65">
      <c r="B65" s="4" t="b">
        <f>IFERROR(__xludf.DUMMYFUNCTION("""COMPUTED_VALUE"""),FALSE)</f>
        <v>0</v>
      </c>
      <c r="C65" s="4" t="str">
        <f>IFERROR(__xludf.DUMMYFUNCTION("""COMPUTED_VALUE"""),"じゃらん")</f>
        <v>じゃらん</v>
      </c>
      <c r="D65" s="4">
        <f>IFERROR(__xludf.DUMMYFUNCTION("""COMPUTED_VALUE"""),5.0)</f>
        <v>5</v>
      </c>
      <c r="E65" s="18">
        <f>IFERROR(__xludf.DUMMYFUNCTION("""COMPUTED_VALUE"""),46110.0)</f>
        <v>46110</v>
      </c>
      <c r="F65"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65" s="4"/>
      <c r="H65" s="4"/>
      <c r="I65"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65" s="4" t="str">
        <f>IFERROR(__xludf.DUMMYFUNCTION("""COMPUTED_VALUE"""),"")</f>
        <v/>
      </c>
      <c r="K65" s="20" t="str">
        <f>IFERROR(__xludf.DUMMYFUNCTION("""COMPUTED_VALUE"""),"")</f>
        <v/>
      </c>
      <c r="L65" s="20" t="str">
        <f>IFERROR(__xludf.DUMMYFUNCTION("""COMPUTED_VALUE"""),"カズさん")</f>
        <v>カズさん</v>
      </c>
      <c r="N65" s="20"/>
      <c r="O65" s="20"/>
      <c r="P65" s="20"/>
      <c r="Q65" s="20"/>
      <c r="R65" s="20"/>
      <c r="S65" s="20"/>
      <c r="T65" s="20"/>
      <c r="U65" s="20"/>
      <c r="V65" s="20"/>
      <c r="W65" s="20"/>
      <c r="X65" s="20"/>
    </row>
    <row r="66">
      <c r="B66" s="4" t="b">
        <f>IFERROR(__xludf.DUMMYFUNCTION("""COMPUTED_VALUE"""),FALSE)</f>
        <v>0</v>
      </c>
      <c r="C66" s="17" t="str">
        <f>IFERROR(__xludf.DUMMYFUNCTION("""COMPUTED_VALUE"""),"Booking.com")</f>
        <v>Booking.com</v>
      </c>
      <c r="D66" s="4">
        <f>IFERROR(__xludf.DUMMYFUNCTION("""COMPUTED_VALUE"""),7.0)</f>
        <v>7</v>
      </c>
      <c r="E66" s="18">
        <f>IFERROR(__xludf.DUMMYFUNCTION("""COMPUTED_VALUE"""),46109.0)</f>
        <v>46109</v>
      </c>
      <c r="F66" s="4"/>
      <c r="G66" s="4" t="str">
        <f>IFERROR(__xludf.DUMMYFUNCTION("""COMPUTED_VALUE"""),"staff e servizio impeccabili")</f>
        <v>staff e servizio impeccabili</v>
      </c>
      <c r="H66" s="4" t="str">
        <f>IFERROR(__xludf.DUMMYFUNCTION("""COMPUTED_VALUE"""),"stanza troppo stretta")</f>
        <v>stanza troppo stretta</v>
      </c>
      <c r="I66" s="4" t="str">
        <f>IFERROR(__xludf.DUMMYFUNCTION("""COMPUTED_VALUE"""),"")</f>
        <v/>
      </c>
      <c r="J66" s="4" t="str">
        <f>IFERROR(__xludf.DUMMYFUNCTION("""COMPUTED_VALUE"""),"非の打ちどころのないスタッフとサービス")</f>
        <v>非の打ちどころのないスタッフとサービス</v>
      </c>
      <c r="K66" s="20" t="str">
        <f>IFERROR(__xludf.DUMMYFUNCTION("""COMPUTED_VALUE"""),"部屋が狭すぎる")</f>
        <v>部屋が狭すぎる</v>
      </c>
      <c r="L66" s="20" t="str">
        <f>IFERROR(__xludf.DUMMYFUNCTION("""COMPUTED_VALUE"""),"Altea")</f>
        <v>Altea</v>
      </c>
      <c r="N66" s="20"/>
      <c r="O66" s="20"/>
      <c r="P66" s="20"/>
      <c r="Q66" s="20"/>
      <c r="R66" s="20"/>
      <c r="S66" s="20"/>
      <c r="T66" s="20"/>
      <c r="U66" s="20"/>
      <c r="V66" s="20"/>
      <c r="W66" s="20"/>
      <c r="X66" s="20"/>
    </row>
    <row r="67">
      <c r="B67" s="4" t="b">
        <f>IFERROR(__xludf.DUMMYFUNCTION("""COMPUTED_VALUE"""),FALSE)</f>
        <v>0</v>
      </c>
      <c r="C67" s="17" t="str">
        <f>IFERROR(__xludf.DUMMYFUNCTION("""COMPUTED_VALUE"""),"Booking.com")</f>
        <v>Booking.com</v>
      </c>
      <c r="D67" s="4">
        <f>IFERROR(__xludf.DUMMYFUNCTION("""COMPUTED_VALUE"""),8.0)</f>
        <v>8</v>
      </c>
      <c r="E67" s="18">
        <f>IFERROR(__xludf.DUMMYFUNCTION("""COMPUTED_VALUE"""),46109.0)</f>
        <v>46109</v>
      </c>
      <c r="F67" s="4"/>
      <c r="G67"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67"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67" s="4" t="str">
        <f>IFERROR(__xludf.DUMMYFUNCTION("""COMPUTED_VALUE"""),"")</f>
        <v/>
      </c>
      <c r="J67"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67"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67" s="20" t="str">
        <f>IFERROR(__xludf.DUMMYFUNCTION("""COMPUTED_VALUE"""),"Kano")</f>
        <v>Kano</v>
      </c>
      <c r="N67" s="20"/>
      <c r="O67" s="20"/>
      <c r="P67" s="20"/>
      <c r="Q67" s="20"/>
      <c r="R67" s="20"/>
      <c r="S67" s="20"/>
      <c r="T67" s="20"/>
      <c r="U67" s="20"/>
      <c r="V67" s="20"/>
      <c r="W67" s="20"/>
      <c r="X67" s="20"/>
    </row>
    <row r="68">
      <c r="B68" s="4" t="b">
        <f>IFERROR(__xludf.DUMMYFUNCTION("""COMPUTED_VALUE"""),FALSE)</f>
        <v>0</v>
      </c>
      <c r="C68" s="4" t="str">
        <f>IFERROR(__xludf.DUMMYFUNCTION("""COMPUTED_VALUE"""),"Agoda")</f>
        <v>Agoda</v>
      </c>
      <c r="D68" s="4">
        <f>IFERROR(__xludf.DUMMYFUNCTION("""COMPUTED_VALUE"""),9.0)</f>
        <v>9</v>
      </c>
      <c r="E68" s="18">
        <f>IFERROR(__xludf.DUMMYFUNCTION("""COMPUTED_VALUE"""),46109.0)</f>
        <v>46109</v>
      </c>
      <c r="F68"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68" s="4"/>
      <c r="H68" s="4"/>
      <c r="I68"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68" s="4" t="str">
        <f>IFERROR(__xludf.DUMMYFUNCTION("""COMPUTED_VALUE"""),"")</f>
        <v/>
      </c>
      <c r="K68" s="20" t="str">
        <f>IFERROR(__xludf.DUMMYFUNCTION("""COMPUTED_VALUE"""),"")</f>
        <v/>
      </c>
      <c r="L68" s="20" t="str">
        <f>IFERROR(__xludf.DUMMYFUNCTION("""COMPUTED_VALUE"""),"Yushin")</f>
        <v>Yushin</v>
      </c>
      <c r="N68" s="20"/>
      <c r="O68" s="20"/>
      <c r="P68" s="20"/>
      <c r="Q68" s="20"/>
      <c r="R68" s="20"/>
      <c r="S68" s="20"/>
      <c r="T68" s="20"/>
      <c r="U68" s="20"/>
      <c r="V68" s="20"/>
      <c r="W68" s="20"/>
      <c r="X68" s="20"/>
    </row>
    <row r="69">
      <c r="B69" s="4" t="b">
        <f>IFERROR(__xludf.DUMMYFUNCTION("""COMPUTED_VALUE"""),FALSE)</f>
        <v>0</v>
      </c>
      <c r="C69" s="17" t="str">
        <f>IFERROR(__xludf.DUMMYFUNCTION("""COMPUTED_VALUE"""),"Trip.com")</f>
        <v>Trip.com</v>
      </c>
      <c r="D69" s="4">
        <f>IFERROR(__xludf.DUMMYFUNCTION("""COMPUTED_VALUE"""),9.0)</f>
        <v>9</v>
      </c>
      <c r="E69" s="18">
        <f>IFERROR(__xludf.DUMMYFUNCTION("""COMPUTED_VALUE"""),46109.0)</f>
        <v>46109</v>
      </c>
      <c r="F69"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69" s="4"/>
      <c r="H69" s="4"/>
      <c r="I69"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69" s="4" t="str">
        <f>IFERROR(__xludf.DUMMYFUNCTION("""COMPUTED_VALUE"""),"")</f>
        <v/>
      </c>
      <c r="K69" s="20" t="str">
        <f>IFERROR(__xludf.DUMMYFUNCTION("""COMPUTED_VALUE"""),"")</f>
        <v/>
      </c>
      <c r="L69" s="20" t="str">
        <f>IFERROR(__xludf.DUMMYFUNCTION("""COMPUTED_VALUE"""),"ゲ‍ス‍ト")</f>
        <v>ゲ‍ス‍ト</v>
      </c>
      <c r="N69" s="20"/>
      <c r="O69" s="20"/>
      <c r="P69" s="20"/>
      <c r="Q69" s="20"/>
      <c r="R69" s="20"/>
      <c r="S69" s="20"/>
      <c r="T69" s="20"/>
      <c r="U69" s="20"/>
      <c r="V69" s="20"/>
      <c r="W69" s="20"/>
      <c r="X69" s="20"/>
    </row>
    <row r="70">
      <c r="B70" s="4" t="b">
        <f>IFERROR(__xludf.DUMMYFUNCTION("""COMPUTED_VALUE"""),FALSE)</f>
        <v>0</v>
      </c>
      <c r="C70" s="4" t="str">
        <f>IFERROR(__xludf.DUMMYFUNCTION("""COMPUTED_VALUE"""),"楽天トラベル")</f>
        <v>楽天トラベル</v>
      </c>
      <c r="D70" s="4">
        <f>IFERROR(__xludf.DUMMYFUNCTION("""COMPUTED_VALUE"""),5.0)</f>
        <v>5</v>
      </c>
      <c r="E70" s="18">
        <f>IFERROR(__xludf.DUMMYFUNCTION("""COMPUTED_VALUE"""),46108.0)</f>
        <v>46108</v>
      </c>
      <c r="F70"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70" s="4"/>
      <c r="H70" s="4"/>
      <c r="I70"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70" s="4" t="str">
        <f>IFERROR(__xludf.DUMMYFUNCTION("""COMPUTED_VALUE"""),"")</f>
        <v/>
      </c>
      <c r="K70" s="20" t="str">
        <f>IFERROR(__xludf.DUMMYFUNCTION("""COMPUTED_VALUE"""),"")</f>
        <v/>
      </c>
      <c r="L70" s="20" t="str">
        <f>IFERROR(__xludf.DUMMYFUNCTION("""COMPUTED_VALUE"""),"のいしろも")</f>
        <v>のいしろも</v>
      </c>
      <c r="N70" s="20"/>
      <c r="O70" s="20"/>
      <c r="P70" s="20"/>
      <c r="Q70" s="20"/>
      <c r="R70" s="20"/>
      <c r="S70" s="20"/>
      <c r="T70" s="20"/>
      <c r="U70" s="20"/>
      <c r="V70" s="20"/>
      <c r="W70" s="20"/>
      <c r="X70" s="20"/>
    </row>
    <row r="71">
      <c r="B71" s="4" t="b">
        <f>IFERROR(__xludf.DUMMYFUNCTION("""COMPUTED_VALUE"""),FALSE)</f>
        <v>0</v>
      </c>
      <c r="C71" s="17" t="str">
        <f>IFERROR(__xludf.DUMMYFUNCTION("""COMPUTED_VALUE"""),"Trip.com")</f>
        <v>Trip.com</v>
      </c>
      <c r="D71" s="4">
        <f>IFERROR(__xludf.DUMMYFUNCTION("""COMPUTED_VALUE"""),10.0)</f>
        <v>10</v>
      </c>
      <c r="E71" s="18">
        <f>IFERROR(__xludf.DUMMYFUNCTION("""COMPUTED_VALUE"""),46108.0)</f>
        <v>46108</v>
      </c>
      <c r="F71" s="4" t="str">
        <f>IFERROR(__xludf.DUMMYFUNCTION("""COMPUTED_VALUE"""),"忘れ物しても返ってきました。神です。")</f>
        <v>忘れ物しても返ってきました。神です。</v>
      </c>
      <c r="G71" s="4"/>
      <c r="H71" s="4"/>
      <c r="I71" s="4" t="str">
        <f>IFERROR(__xludf.DUMMYFUNCTION("""COMPUTED_VALUE"""),"忘れ物しても返ってきました。神です。")</f>
        <v>忘れ物しても返ってきました。神です。</v>
      </c>
      <c r="J71" s="4" t="str">
        <f>IFERROR(__xludf.DUMMYFUNCTION("""COMPUTED_VALUE"""),"")</f>
        <v/>
      </c>
      <c r="K71" s="20" t="str">
        <f>IFERROR(__xludf.DUMMYFUNCTION("""COMPUTED_VALUE"""),"")</f>
        <v/>
      </c>
      <c r="L71" s="20" t="str">
        <f>IFERROR(__xludf.DUMMYFUNCTION("""COMPUTED_VALUE"""),"ゲ‍ス‍ト")</f>
        <v>ゲ‍ス‍ト</v>
      </c>
      <c r="N71" s="20"/>
      <c r="O71" s="20"/>
      <c r="P71" s="20"/>
      <c r="Q71" s="20"/>
      <c r="R71" s="20"/>
      <c r="S71" s="20"/>
      <c r="T71" s="20"/>
      <c r="U71" s="20"/>
      <c r="V71" s="20"/>
      <c r="W71" s="20"/>
      <c r="X71" s="20"/>
    </row>
    <row r="72">
      <c r="B72" s="4" t="b">
        <f>IFERROR(__xludf.DUMMYFUNCTION("""COMPUTED_VALUE"""),FALSE)</f>
        <v>0</v>
      </c>
      <c r="C72" s="4" t="str">
        <f>IFERROR(__xludf.DUMMYFUNCTION("""COMPUTED_VALUE"""),"じゃらん")</f>
        <v>じゃらん</v>
      </c>
      <c r="D72" s="4">
        <f>IFERROR(__xludf.DUMMYFUNCTION("""COMPUTED_VALUE"""),4.0)</f>
        <v>4</v>
      </c>
      <c r="E72" s="18">
        <f>IFERROR(__xludf.DUMMYFUNCTION("""COMPUTED_VALUE"""),46108.0)</f>
        <v>46108</v>
      </c>
      <c r="F72"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72" s="4"/>
      <c r="H72" s="4"/>
      <c r="I72"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72" s="4" t="str">
        <f>IFERROR(__xludf.DUMMYFUNCTION("""COMPUTED_VALUE"""),"")</f>
        <v/>
      </c>
      <c r="K72" s="20" t="str">
        <f>IFERROR(__xludf.DUMMYFUNCTION("""COMPUTED_VALUE"""),"")</f>
        <v/>
      </c>
      <c r="L72" s="20" t="str">
        <f>IFERROR(__xludf.DUMMYFUNCTION("""COMPUTED_VALUE"""),"りっくさん")</f>
        <v>りっくさん</v>
      </c>
      <c r="N72" s="20"/>
      <c r="O72" s="20"/>
      <c r="P72" s="20"/>
      <c r="Q72" s="20"/>
      <c r="R72" s="20"/>
      <c r="S72" s="20"/>
      <c r="T72" s="20"/>
      <c r="U72" s="20"/>
      <c r="V72" s="20"/>
      <c r="W72" s="20"/>
      <c r="X72" s="20"/>
    </row>
    <row r="73">
      <c r="B73" s="4" t="b">
        <f>IFERROR(__xludf.DUMMYFUNCTION("""COMPUTED_VALUE"""),FALSE)</f>
        <v>0</v>
      </c>
      <c r="C73" s="4" t="str">
        <f>IFERROR(__xludf.DUMMYFUNCTION("""COMPUTED_VALUE"""),"楽天トラベル")</f>
        <v>楽天トラベル</v>
      </c>
      <c r="D73" s="4">
        <f>IFERROR(__xludf.DUMMYFUNCTION("""COMPUTED_VALUE"""),4.0)</f>
        <v>4</v>
      </c>
      <c r="E73" s="18">
        <f>IFERROR(__xludf.DUMMYFUNCTION("""COMPUTED_VALUE"""),46107.0)</f>
        <v>46107</v>
      </c>
      <c r="F73"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73" s="4"/>
      <c r="H73" s="4"/>
      <c r="I73"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73" s="4" t="str">
        <f>IFERROR(__xludf.DUMMYFUNCTION("""COMPUTED_VALUE"""),"")</f>
        <v/>
      </c>
      <c r="K73" s="20" t="str">
        <f>IFERROR(__xludf.DUMMYFUNCTION("""COMPUTED_VALUE"""),"")</f>
        <v/>
      </c>
      <c r="L73" s="20" t="str">
        <f>IFERROR(__xludf.DUMMYFUNCTION("""COMPUTED_VALUE"""),"まる子ぽっけ")</f>
        <v>まる子ぽっけ</v>
      </c>
      <c r="N73" s="20"/>
      <c r="O73" s="20"/>
      <c r="P73" s="20"/>
      <c r="Q73" s="20"/>
      <c r="R73" s="20"/>
      <c r="S73" s="20"/>
      <c r="T73" s="20"/>
      <c r="U73" s="20"/>
      <c r="V73" s="20"/>
      <c r="W73" s="20"/>
      <c r="X73" s="20"/>
    </row>
    <row r="74">
      <c r="B74" s="4" t="b">
        <f>IFERROR(__xludf.DUMMYFUNCTION("""COMPUTED_VALUE"""),FALSE)</f>
        <v>0</v>
      </c>
      <c r="C74" s="4" t="str">
        <f>IFERROR(__xludf.DUMMYFUNCTION("""COMPUTED_VALUE"""),"Google")</f>
        <v>Google</v>
      </c>
      <c r="D74" s="4">
        <f>IFERROR(__xludf.DUMMYFUNCTION("""COMPUTED_VALUE"""),5.0)</f>
        <v>5</v>
      </c>
      <c r="E74" s="18">
        <f>IFERROR(__xludf.DUMMYFUNCTION("""COMPUTED_VALUE"""),46107.0)</f>
        <v>46107</v>
      </c>
      <c r="F74" s="4"/>
      <c r="G74" s="4"/>
      <c r="H74" s="4"/>
      <c r="I74" s="4" t="str">
        <f>IFERROR(__xludf.DUMMYFUNCTION("""COMPUTED_VALUE"""),"")</f>
        <v/>
      </c>
      <c r="J74" s="4" t="str">
        <f>IFERROR(__xludf.DUMMYFUNCTION("""COMPUTED_VALUE"""),"")</f>
        <v/>
      </c>
      <c r="K74" s="20" t="str">
        <f>IFERROR(__xludf.DUMMYFUNCTION("""COMPUTED_VALUE"""),"")</f>
        <v/>
      </c>
      <c r="L74" s="20" t="str">
        <f>IFERROR(__xludf.DUMMYFUNCTION("""COMPUTED_VALUE"""),"たくろう")</f>
        <v>たくろう</v>
      </c>
      <c r="N74" s="20"/>
      <c r="O74" s="20"/>
      <c r="P74" s="20"/>
      <c r="Q74" s="20"/>
      <c r="R74" s="20"/>
      <c r="S74" s="20"/>
      <c r="T74" s="20"/>
      <c r="U74" s="20"/>
      <c r="V74" s="20"/>
      <c r="W74" s="20"/>
      <c r="X74" s="20"/>
    </row>
    <row r="75">
      <c r="B75" s="4" t="b">
        <f>IFERROR(__xludf.DUMMYFUNCTION("""COMPUTED_VALUE"""),FALSE)</f>
        <v>0</v>
      </c>
      <c r="C75" s="17" t="str">
        <f>IFERROR(__xludf.DUMMYFUNCTION("""COMPUTED_VALUE"""),"Trip.com")</f>
        <v>Trip.com</v>
      </c>
      <c r="D75" s="4">
        <f>IFERROR(__xludf.DUMMYFUNCTION("""COMPUTED_VALUE"""),9.0)</f>
        <v>9</v>
      </c>
      <c r="E75" s="18">
        <f>IFERROR(__xludf.DUMMYFUNCTION("""COMPUTED_VALUE"""),46107.0)</f>
        <v>46107</v>
      </c>
      <c r="F75"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75" s="4"/>
      <c r="H75" s="4"/>
      <c r="I75"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75" s="4" t="str">
        <f>IFERROR(__xludf.DUMMYFUNCTION("""COMPUTED_VALUE"""),"")</f>
        <v/>
      </c>
      <c r="K75" s="20" t="str">
        <f>IFERROR(__xludf.DUMMYFUNCTION("""COMPUTED_VALUE"""),"")</f>
        <v/>
      </c>
      <c r="L75" s="20" t="str">
        <f>IFERROR(__xludf.DUMMYFUNCTION("""COMPUTED_VALUE"""),"ゲ‍ス‍ト")</f>
        <v>ゲ‍ス‍ト</v>
      </c>
      <c r="N75" s="20"/>
      <c r="O75" s="20"/>
      <c r="P75" s="20"/>
      <c r="Q75" s="20"/>
      <c r="R75" s="20"/>
      <c r="S75" s="20"/>
      <c r="T75" s="20"/>
      <c r="U75" s="20"/>
      <c r="V75" s="20"/>
      <c r="W75" s="20"/>
      <c r="X75" s="20"/>
    </row>
    <row r="76">
      <c r="B76" s="4" t="b">
        <f>IFERROR(__xludf.DUMMYFUNCTION("""COMPUTED_VALUE"""),FALSE)</f>
        <v>0</v>
      </c>
      <c r="C76" s="4" t="str">
        <f>IFERROR(__xludf.DUMMYFUNCTION("""COMPUTED_VALUE"""),"楽天トラベル")</f>
        <v>楽天トラベル</v>
      </c>
      <c r="D76" s="4">
        <f>IFERROR(__xludf.DUMMYFUNCTION("""COMPUTED_VALUE"""),4.0)</f>
        <v>4</v>
      </c>
      <c r="E76" s="18">
        <f>IFERROR(__xludf.DUMMYFUNCTION("""COMPUTED_VALUE"""),46107.0)</f>
        <v>46107</v>
      </c>
      <c r="F76"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76" s="4"/>
      <c r="H76" s="4"/>
      <c r="I76"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76" s="4" t="str">
        <f>IFERROR(__xludf.DUMMYFUNCTION("""COMPUTED_VALUE"""),"")</f>
        <v/>
      </c>
      <c r="K76" s="20" t="str">
        <f>IFERROR(__xludf.DUMMYFUNCTION("""COMPUTED_VALUE"""),"")</f>
        <v/>
      </c>
      <c r="L76" s="20" t="str">
        <f>IFERROR(__xludf.DUMMYFUNCTION("""COMPUTED_VALUE"""),"etk1979")</f>
        <v>etk1979</v>
      </c>
      <c r="N76" s="20"/>
      <c r="O76" s="20"/>
      <c r="P76" s="20"/>
      <c r="Q76" s="20"/>
      <c r="R76" s="20"/>
      <c r="S76" s="20"/>
      <c r="T76" s="20"/>
      <c r="U76" s="20"/>
      <c r="V76" s="20"/>
      <c r="W76" s="20"/>
      <c r="X76" s="20"/>
    </row>
    <row r="77">
      <c r="B77" s="4" t="b">
        <f>IFERROR(__xludf.DUMMYFUNCTION("""COMPUTED_VALUE"""),FALSE)</f>
        <v>0</v>
      </c>
      <c r="C77" s="4" t="str">
        <f>IFERROR(__xludf.DUMMYFUNCTION("""COMPUTED_VALUE"""),"じゃらん")</f>
        <v>じゃらん</v>
      </c>
      <c r="D77" s="4">
        <f>IFERROR(__xludf.DUMMYFUNCTION("""COMPUTED_VALUE"""),5.0)</f>
        <v>5</v>
      </c>
      <c r="E77" s="18">
        <f>IFERROR(__xludf.DUMMYFUNCTION("""COMPUTED_VALUE"""),46106.0)</f>
        <v>46106</v>
      </c>
      <c r="F77"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77" s="4"/>
      <c r="H77" s="4"/>
      <c r="I77"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77" s="4" t="str">
        <f>IFERROR(__xludf.DUMMYFUNCTION("""COMPUTED_VALUE"""),"")</f>
        <v/>
      </c>
      <c r="K77" s="20" t="str">
        <f>IFERROR(__xludf.DUMMYFUNCTION("""COMPUTED_VALUE"""),"")</f>
        <v/>
      </c>
      <c r="L77" s="20" t="str">
        <f>IFERROR(__xludf.DUMMYFUNCTION("""COMPUTED_VALUE"""),"キラキラさん")</f>
        <v>キラキラさん</v>
      </c>
      <c r="N77" s="20"/>
      <c r="O77" s="20"/>
      <c r="P77" s="20"/>
      <c r="Q77" s="20"/>
      <c r="R77" s="20"/>
      <c r="S77" s="20"/>
      <c r="T77" s="20"/>
      <c r="U77" s="20"/>
      <c r="V77" s="20"/>
      <c r="W77" s="20"/>
      <c r="X77" s="20"/>
    </row>
    <row r="78">
      <c r="B78" s="4" t="b">
        <f>IFERROR(__xludf.DUMMYFUNCTION("""COMPUTED_VALUE"""),FALSE)</f>
        <v>0</v>
      </c>
      <c r="C78" s="17" t="str">
        <f>IFERROR(__xludf.DUMMYFUNCTION("""COMPUTED_VALUE"""),"Trip.com")</f>
        <v>Trip.com</v>
      </c>
      <c r="D78" s="4">
        <f>IFERROR(__xludf.DUMMYFUNCTION("""COMPUTED_VALUE"""),10.0)</f>
        <v>10</v>
      </c>
      <c r="E78" s="18">
        <f>IFERROR(__xludf.DUMMYFUNCTION("""COMPUTED_VALUE"""),46106.0)</f>
        <v>46106</v>
      </c>
      <c r="F78"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78" s="4"/>
      <c r="H78" s="4"/>
      <c r="I78"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78" s="4" t="str">
        <f>IFERROR(__xludf.DUMMYFUNCTION("""COMPUTED_VALUE"""),"")</f>
        <v/>
      </c>
      <c r="K78" s="20" t="str">
        <f>IFERROR(__xludf.DUMMYFUNCTION("""COMPUTED_VALUE"""),"")</f>
        <v/>
      </c>
      <c r="L78" s="20" t="str">
        <f>IFERROR(__xludf.DUMMYFUNCTION("""COMPUTED_VALUE"""),"ゲ‍ス‍ト")</f>
        <v>ゲ‍ス‍ト</v>
      </c>
      <c r="N78" s="20"/>
      <c r="O78" s="20"/>
      <c r="P78" s="20"/>
      <c r="Q78" s="20"/>
      <c r="R78" s="20"/>
      <c r="S78" s="20"/>
      <c r="T78" s="20"/>
      <c r="U78" s="20"/>
      <c r="V78" s="20"/>
      <c r="W78" s="20"/>
      <c r="X78" s="20"/>
    </row>
    <row r="79">
      <c r="B79" s="4" t="b">
        <f>IFERROR(__xludf.DUMMYFUNCTION("""COMPUTED_VALUE"""),FALSE)</f>
        <v>0</v>
      </c>
      <c r="C79" s="4" t="str">
        <f>IFERROR(__xludf.DUMMYFUNCTION("""COMPUTED_VALUE"""),"楽天トラベル")</f>
        <v>楽天トラベル</v>
      </c>
      <c r="D79" s="4">
        <f>IFERROR(__xludf.DUMMYFUNCTION("""COMPUTED_VALUE"""),5.0)</f>
        <v>5</v>
      </c>
      <c r="E79" s="18">
        <f>IFERROR(__xludf.DUMMYFUNCTION("""COMPUTED_VALUE"""),46106.0)</f>
        <v>46106</v>
      </c>
      <c r="F79"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79" s="4"/>
      <c r="H79" s="4"/>
      <c r="I79"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79" s="4" t="str">
        <f>IFERROR(__xludf.DUMMYFUNCTION("""COMPUTED_VALUE"""),"")</f>
        <v/>
      </c>
      <c r="K79" s="20" t="str">
        <f>IFERROR(__xludf.DUMMYFUNCTION("""COMPUTED_VALUE"""),"")</f>
        <v/>
      </c>
      <c r="L79" s="20" t="str">
        <f>IFERROR(__xludf.DUMMYFUNCTION("""COMPUTED_VALUE"""),"コンソメぽてち")</f>
        <v>コンソメぽてち</v>
      </c>
      <c r="N79" s="20"/>
      <c r="O79" s="20"/>
      <c r="P79" s="20"/>
      <c r="Q79" s="20"/>
      <c r="R79" s="20"/>
      <c r="S79" s="20"/>
      <c r="T79" s="20"/>
      <c r="U79" s="20"/>
      <c r="V79" s="20"/>
      <c r="W79" s="20"/>
      <c r="X79" s="20"/>
    </row>
    <row r="80">
      <c r="B80" s="4" t="b">
        <f>IFERROR(__xludf.DUMMYFUNCTION("""COMPUTED_VALUE"""),FALSE)</f>
        <v>0</v>
      </c>
      <c r="C80" s="4" t="str">
        <f>IFERROR(__xludf.DUMMYFUNCTION("""COMPUTED_VALUE"""),"楽天トラベル")</f>
        <v>楽天トラベル</v>
      </c>
      <c r="D80" s="4">
        <f>IFERROR(__xludf.DUMMYFUNCTION("""COMPUTED_VALUE"""),4.0)</f>
        <v>4</v>
      </c>
      <c r="E80" s="18">
        <f>IFERROR(__xludf.DUMMYFUNCTION("""COMPUTED_VALUE"""),46105.0)</f>
        <v>46105</v>
      </c>
      <c r="F80"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80" s="4"/>
      <c r="H80" s="4"/>
      <c r="I80"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80" s="4" t="str">
        <f>IFERROR(__xludf.DUMMYFUNCTION("""COMPUTED_VALUE"""),"")</f>
        <v/>
      </c>
      <c r="K80" s="20" t="str">
        <f>IFERROR(__xludf.DUMMYFUNCTION("""COMPUTED_VALUE"""),"")</f>
        <v/>
      </c>
      <c r="L80" s="20" t="str">
        <f>IFERROR(__xludf.DUMMYFUNCTION("""COMPUTED_VALUE"""),"くわくわ３")</f>
        <v>くわくわ３</v>
      </c>
    </row>
    <row r="81">
      <c r="B81" s="4" t="b">
        <f>IFERROR(__xludf.DUMMYFUNCTION("""COMPUTED_VALUE"""),FALSE)</f>
        <v>0</v>
      </c>
      <c r="C81" s="4" t="str">
        <f>IFERROR(__xludf.DUMMYFUNCTION("""COMPUTED_VALUE"""),"Agoda")</f>
        <v>Agoda</v>
      </c>
      <c r="D81" s="4">
        <f>IFERROR(__xludf.DUMMYFUNCTION("""COMPUTED_VALUE"""),9.0)</f>
        <v>9</v>
      </c>
      <c r="E81" s="18">
        <f>IFERROR(__xludf.DUMMYFUNCTION("""COMPUTED_VALUE"""),46105.0)</f>
        <v>46105</v>
      </c>
      <c r="F81"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81" s="4"/>
      <c r="H81" s="4"/>
      <c r="I81"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81" s="4" t="str">
        <f>IFERROR(__xludf.DUMMYFUNCTION("""COMPUTED_VALUE"""),"")</f>
        <v/>
      </c>
      <c r="K81" s="20" t="str">
        <f>IFERROR(__xludf.DUMMYFUNCTION("""COMPUTED_VALUE"""),"")</f>
        <v/>
      </c>
      <c r="L81" s="20" t="str">
        <f>IFERROR(__xludf.DUMMYFUNCTION("""COMPUTED_VALUE"""),"Masami")</f>
        <v>Masami</v>
      </c>
    </row>
    <row r="82">
      <c r="B82" s="4" t="b">
        <f>IFERROR(__xludf.DUMMYFUNCTION("""COMPUTED_VALUE"""),FALSE)</f>
        <v>0</v>
      </c>
      <c r="C82" s="4" t="str">
        <f>IFERROR(__xludf.DUMMYFUNCTION("""COMPUTED_VALUE"""),"楽天トラベル")</f>
        <v>楽天トラベル</v>
      </c>
      <c r="D82" s="4">
        <f>IFERROR(__xludf.DUMMYFUNCTION("""COMPUTED_VALUE"""),5.0)</f>
        <v>5</v>
      </c>
      <c r="E82" s="18">
        <f>IFERROR(__xludf.DUMMYFUNCTION("""COMPUTED_VALUE"""),46105.0)</f>
        <v>46105</v>
      </c>
      <c r="F82"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82" s="4"/>
      <c r="H82" s="4"/>
      <c r="I82"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82" s="4" t="str">
        <f>IFERROR(__xludf.DUMMYFUNCTION("""COMPUTED_VALUE"""),"")</f>
        <v/>
      </c>
      <c r="K82" s="20" t="str">
        <f>IFERROR(__xludf.DUMMYFUNCTION("""COMPUTED_VALUE"""),"")</f>
        <v/>
      </c>
      <c r="L82" s="20" t="str">
        <f>IFERROR(__xludf.DUMMYFUNCTION("""COMPUTED_VALUE"""),"ぽぽんずぽんず")</f>
        <v>ぽぽんずぽんず</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IFERROR(__xludf.DUMMYFUNCTION("""COMPUTED_VALUE"""),46105.0)</f>
        <v>46105</v>
      </c>
      <c r="F83" s="4"/>
      <c r="G83" s="4" t="str">
        <f>IFERROR(__xludf.DUMMYFUNCTION("""COMPUTED_VALUE"""),"全部")</f>
        <v>全部</v>
      </c>
      <c r="H83"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83" s="4" t="str">
        <f>IFERROR(__xludf.DUMMYFUNCTION("""COMPUTED_VALUE"""),"")</f>
        <v/>
      </c>
      <c r="J83" s="4" t="str">
        <f>IFERROR(__xludf.DUMMYFUNCTION("""COMPUTED_VALUE"""),"全て")</f>
        <v>全て</v>
      </c>
      <c r="K83"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83" s="20" t="str">
        <f>IFERROR(__xludf.DUMMYFUNCTION("""COMPUTED_VALUE"""),"Sousuke")</f>
        <v>Sousuke</v>
      </c>
    </row>
    <row r="84">
      <c r="B84" s="4" t="b">
        <f>IFERROR(__xludf.DUMMYFUNCTION("""COMPUTED_VALUE"""),FALSE)</f>
        <v>0</v>
      </c>
      <c r="C84" s="4" t="str">
        <f>IFERROR(__xludf.DUMMYFUNCTION("""COMPUTED_VALUE"""),"楽天トラベル")</f>
        <v>楽天トラベル</v>
      </c>
      <c r="D84" s="4">
        <f>IFERROR(__xludf.DUMMYFUNCTION("""COMPUTED_VALUE"""),5.0)</f>
        <v>5</v>
      </c>
      <c r="E84" s="18">
        <f>IFERROR(__xludf.DUMMYFUNCTION("""COMPUTED_VALUE"""),46105.0)</f>
        <v>46105</v>
      </c>
      <c r="F84"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84" s="4"/>
      <c r="H84" s="4"/>
      <c r="I84"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84" s="4" t="str">
        <f>IFERROR(__xludf.DUMMYFUNCTION("""COMPUTED_VALUE"""),"")</f>
        <v/>
      </c>
      <c r="K84" s="20" t="str">
        <f>IFERROR(__xludf.DUMMYFUNCTION("""COMPUTED_VALUE"""),"")</f>
        <v/>
      </c>
      <c r="L84" s="20" t="str">
        <f>IFERROR(__xludf.DUMMYFUNCTION("""COMPUTED_VALUE"""),"りりりぃちゃん")</f>
        <v>りりりぃちゃん</v>
      </c>
    </row>
    <row r="85">
      <c r="B85" s="4" t="b">
        <f>IFERROR(__xludf.DUMMYFUNCTION("""COMPUTED_VALUE"""),FALSE)</f>
        <v>0</v>
      </c>
      <c r="C85" s="4" t="str">
        <f>IFERROR(__xludf.DUMMYFUNCTION("""COMPUTED_VALUE"""),"じゃらん")</f>
        <v>じゃらん</v>
      </c>
      <c r="D85" s="4">
        <f>IFERROR(__xludf.DUMMYFUNCTION("""COMPUTED_VALUE"""),4.0)</f>
        <v>4</v>
      </c>
      <c r="E85" s="18">
        <f>IFERROR(__xludf.DUMMYFUNCTION("""COMPUTED_VALUE"""),46105.0)</f>
        <v>46105</v>
      </c>
      <c r="F85"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85" s="4"/>
      <c r="H85" s="4"/>
      <c r="I85"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85" s="4" t="str">
        <f>IFERROR(__xludf.DUMMYFUNCTION("""COMPUTED_VALUE"""),"")</f>
        <v/>
      </c>
      <c r="K85" s="20" t="str">
        <f>IFERROR(__xludf.DUMMYFUNCTION("""COMPUTED_VALUE"""),"")</f>
        <v/>
      </c>
      <c r="L85" s="20" t="str">
        <f>IFERROR(__xludf.DUMMYFUNCTION("""COMPUTED_VALUE"""),"ポグバさん")</f>
        <v>ポグバさん</v>
      </c>
    </row>
    <row r="86">
      <c r="B86" s="4" t="b">
        <f>IFERROR(__xludf.DUMMYFUNCTION("""COMPUTED_VALUE"""),FALSE)</f>
        <v>0</v>
      </c>
      <c r="C86" s="4" t="str">
        <f>IFERROR(__xludf.DUMMYFUNCTION("""COMPUTED_VALUE"""),"楽天トラベル")</f>
        <v>楽天トラベル</v>
      </c>
      <c r="D86" s="4">
        <f>IFERROR(__xludf.DUMMYFUNCTION("""COMPUTED_VALUE"""),4.0)</f>
        <v>4</v>
      </c>
      <c r="E86" s="18">
        <f>IFERROR(__xludf.DUMMYFUNCTION("""COMPUTED_VALUE"""),46104.0)</f>
        <v>46104</v>
      </c>
      <c r="F86"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86" s="4"/>
      <c r="H86" s="4"/>
      <c r="I86"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86" s="4" t="str">
        <f>IFERROR(__xludf.DUMMYFUNCTION("""COMPUTED_VALUE"""),"")</f>
        <v/>
      </c>
      <c r="K86" s="20" t="str">
        <f>IFERROR(__xludf.DUMMYFUNCTION("""COMPUTED_VALUE"""),"")</f>
        <v/>
      </c>
      <c r="L86" s="20" t="str">
        <f>IFERROR(__xludf.DUMMYFUNCTION("""COMPUTED_VALUE"""),"ふるさとのおぜえ")</f>
        <v>ふるさとのおぜえ</v>
      </c>
    </row>
    <row r="87">
      <c r="B87" s="4" t="b">
        <f>IFERROR(__xludf.DUMMYFUNCTION("""COMPUTED_VALUE"""),FALSE)</f>
        <v>0</v>
      </c>
      <c r="C87" s="4" t="str">
        <f>IFERROR(__xludf.DUMMYFUNCTION("""COMPUTED_VALUE"""),"楽天トラベル")</f>
        <v>楽天トラベル</v>
      </c>
      <c r="D87" s="4">
        <f>IFERROR(__xludf.DUMMYFUNCTION("""COMPUTED_VALUE"""),5.0)</f>
        <v>5</v>
      </c>
      <c r="E87" s="18">
        <f>IFERROR(__xludf.DUMMYFUNCTION("""COMPUTED_VALUE"""),46104.0)</f>
        <v>46104</v>
      </c>
      <c r="F87"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87" s="4"/>
      <c r="H87" s="4"/>
      <c r="I87"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87" s="4" t="str">
        <f>IFERROR(__xludf.DUMMYFUNCTION("""COMPUTED_VALUE"""),"")</f>
        <v/>
      </c>
      <c r="K87" s="20" t="str">
        <f>IFERROR(__xludf.DUMMYFUNCTION("""COMPUTED_VALUE"""),"")</f>
        <v/>
      </c>
      <c r="L87" s="20" t="str">
        <f>IFERROR(__xludf.DUMMYFUNCTION("""COMPUTED_VALUE"""),"こはひなふー")</f>
        <v>こはひなふー</v>
      </c>
    </row>
    <row r="88">
      <c r="B88" s="4" t="b">
        <f>IFERROR(__xludf.DUMMYFUNCTION("""COMPUTED_VALUE"""),FALSE)</f>
        <v>0</v>
      </c>
      <c r="C88" s="17" t="str">
        <f>IFERROR(__xludf.DUMMYFUNCTION("""COMPUTED_VALUE"""),"Booking.com")</f>
        <v>Booking.com</v>
      </c>
      <c r="D88" s="4">
        <f>IFERROR(__xludf.DUMMYFUNCTION("""COMPUTED_VALUE"""),10.0)</f>
        <v>10</v>
      </c>
      <c r="E88" s="18">
        <f>IFERROR(__xludf.DUMMYFUNCTION("""COMPUTED_VALUE"""),46104.0)</f>
        <v>46104</v>
      </c>
      <c r="F88" s="4"/>
      <c r="G88"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88" s="4" t="str">
        <f>IFERROR(__xludf.DUMMYFUNCTION("""COMPUTED_VALUE"""),"特になし。")</f>
        <v>特になし。</v>
      </c>
      <c r="I88" s="4" t="str">
        <f>IFERROR(__xludf.DUMMYFUNCTION("""COMPUTED_VALUE"""),"")</f>
        <v/>
      </c>
      <c r="J88"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88" s="20" t="str">
        <f>IFERROR(__xludf.DUMMYFUNCTION("""COMPUTED_VALUE"""),"特になし。")</f>
        <v>特になし。</v>
      </c>
      <c r="L88" s="20" t="str">
        <f>IFERROR(__xludf.DUMMYFUNCTION("""COMPUTED_VALUE"""),"大智")</f>
        <v>大智</v>
      </c>
    </row>
    <row r="89">
      <c r="B89" s="4" t="b">
        <f>IFERROR(__xludf.DUMMYFUNCTION("""COMPUTED_VALUE"""),FALSE)</f>
        <v>0</v>
      </c>
      <c r="C89" s="4" t="str">
        <f>IFERROR(__xludf.DUMMYFUNCTION("""COMPUTED_VALUE"""),"じゃらん")</f>
        <v>じゃらん</v>
      </c>
      <c r="D89" s="4">
        <f>IFERROR(__xludf.DUMMYFUNCTION("""COMPUTED_VALUE"""),4.0)</f>
        <v>4</v>
      </c>
      <c r="E89" s="18">
        <f>IFERROR(__xludf.DUMMYFUNCTION("""COMPUTED_VALUE"""),46104.0)</f>
        <v>46104</v>
      </c>
      <c r="F89"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89" s="4"/>
      <c r="H89" s="4"/>
      <c r="I89"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89" s="4" t="str">
        <f>IFERROR(__xludf.DUMMYFUNCTION("""COMPUTED_VALUE"""),"")</f>
        <v/>
      </c>
      <c r="K89" s="20" t="str">
        <f>IFERROR(__xludf.DUMMYFUNCTION("""COMPUTED_VALUE"""),"")</f>
        <v/>
      </c>
      <c r="L89" s="20" t="str">
        <f>IFERROR(__xludf.DUMMYFUNCTION("""COMPUTED_VALUE"""),"ちびりえさん")</f>
        <v>ちびりえさん</v>
      </c>
    </row>
    <row r="90">
      <c r="B90" s="4" t="b">
        <f>IFERROR(__xludf.DUMMYFUNCTION("""COMPUTED_VALUE"""),FALSE)</f>
        <v>0</v>
      </c>
      <c r="C90" s="17" t="str">
        <f>IFERROR(__xludf.DUMMYFUNCTION("""COMPUTED_VALUE"""),"Booking.com")</f>
        <v>Booking.com</v>
      </c>
      <c r="D90" s="4">
        <f>IFERROR(__xludf.DUMMYFUNCTION("""COMPUTED_VALUE"""),9.0)</f>
        <v>9</v>
      </c>
      <c r="E90" s="18">
        <f>IFERROR(__xludf.DUMMYFUNCTION("""COMPUTED_VALUE"""),46103.0)</f>
        <v>46103</v>
      </c>
      <c r="F90" s="4"/>
      <c r="G90" s="4" t="str">
        <f>IFERROR(__xludf.DUMMYFUNCTION("""COMPUTED_VALUE"""),"イベント会場や駅に近くてとても便利でした。")</f>
        <v>イベント会場や駅に近くてとても便利でした。</v>
      </c>
      <c r="H90" s="4" t="str">
        <f>IFERROR(__xludf.DUMMYFUNCTION("""COMPUTED_VALUE"""),"エアコンや冷蔵庫の音が気になりました")</f>
        <v>エアコンや冷蔵庫の音が気になりました</v>
      </c>
      <c r="I90" s="4" t="str">
        <f>IFERROR(__xludf.DUMMYFUNCTION("""COMPUTED_VALUE"""),"")</f>
        <v/>
      </c>
      <c r="J90" s="4" t="str">
        <f>IFERROR(__xludf.DUMMYFUNCTION("""COMPUTED_VALUE"""),"イベント会場や駅に近くてとても便利でした。")</f>
        <v>イベント会場や駅に近くてとても便利でした。</v>
      </c>
      <c r="K90" s="20" t="str">
        <f>IFERROR(__xludf.DUMMYFUNCTION("""COMPUTED_VALUE"""),"エアコンや冷蔵庫の音が気になりました")</f>
        <v>エアコンや冷蔵庫の音が気になりました</v>
      </c>
      <c r="L90" s="20" t="str">
        <f>IFERROR(__xludf.DUMMYFUNCTION("""COMPUTED_VALUE"""),"Ito")</f>
        <v>Ito</v>
      </c>
    </row>
    <row r="91">
      <c r="B91" s="4" t="b">
        <f>IFERROR(__xludf.DUMMYFUNCTION("""COMPUTED_VALUE"""),FALSE)</f>
        <v>0</v>
      </c>
      <c r="C91" s="4" t="str">
        <f>IFERROR(__xludf.DUMMYFUNCTION("""COMPUTED_VALUE"""),"楽天トラベル")</f>
        <v>楽天トラベル</v>
      </c>
      <c r="D91" s="4">
        <f>IFERROR(__xludf.DUMMYFUNCTION("""COMPUTED_VALUE"""),5.0)</f>
        <v>5</v>
      </c>
      <c r="E91" s="18">
        <f>IFERROR(__xludf.DUMMYFUNCTION("""COMPUTED_VALUE"""),46103.0)</f>
        <v>46103</v>
      </c>
      <c r="F91"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91" s="4"/>
      <c r="H91" s="4"/>
      <c r="I91"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91" s="4" t="str">
        <f>IFERROR(__xludf.DUMMYFUNCTION("""COMPUTED_VALUE"""),"")</f>
        <v/>
      </c>
      <c r="K91" s="20" t="str">
        <f>IFERROR(__xludf.DUMMYFUNCTION("""COMPUTED_VALUE"""),"")</f>
        <v/>
      </c>
      <c r="L91" s="20" t="str">
        <f>IFERROR(__xludf.DUMMYFUNCTION("""COMPUTED_VALUE"""),"おにぎりぼうやママ")</f>
        <v>おにぎりぼうやママ</v>
      </c>
    </row>
    <row r="92">
      <c r="B92" s="4" t="b">
        <f>IFERROR(__xludf.DUMMYFUNCTION("""COMPUTED_VALUE"""),FALSE)</f>
        <v>0</v>
      </c>
      <c r="C92" s="17" t="str">
        <f>IFERROR(__xludf.DUMMYFUNCTION("""COMPUTED_VALUE"""),"Booking.com")</f>
        <v>Booking.com</v>
      </c>
      <c r="D92" s="4">
        <f>IFERROR(__xludf.DUMMYFUNCTION("""COMPUTED_VALUE"""),8.0)</f>
        <v>8</v>
      </c>
      <c r="E92" s="18">
        <f>IFERROR(__xludf.DUMMYFUNCTION("""COMPUTED_VALUE"""),46103.0)</f>
        <v>46103</v>
      </c>
      <c r="F92" s="4"/>
      <c r="G92"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92" s="4" t="str">
        <f>IFERROR(__xludf.DUMMYFUNCTION("""COMPUTED_VALUE"""),"・強いて言うならお風呂の温度と実際に出てくるお湯の温度が差がある")</f>
        <v>・強いて言うならお風呂の温度と実際に出てくるお湯の温度が差がある</v>
      </c>
      <c r="I92" s="4" t="str">
        <f>IFERROR(__xludf.DUMMYFUNCTION("""COMPUTED_VALUE"""),"")</f>
        <v/>
      </c>
      <c r="J92"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92" s="20" t="str">
        <f>IFERROR(__xludf.DUMMYFUNCTION("""COMPUTED_VALUE"""),"・強いて言うならお風呂の温度と実際に出てくるお湯の温度が差がある")</f>
        <v>・強いて言うならお風呂の温度と実際に出てくるお湯の温度が差がある</v>
      </c>
      <c r="L92" s="20" t="str">
        <f>IFERROR(__xludf.DUMMYFUNCTION("""COMPUTED_VALUE"""),"Katsuto")</f>
        <v>Katsuto</v>
      </c>
    </row>
    <row r="93">
      <c r="B93" s="4" t="b">
        <f>IFERROR(__xludf.DUMMYFUNCTION("""COMPUTED_VALUE"""),FALSE)</f>
        <v>0</v>
      </c>
      <c r="C93" s="17" t="str">
        <f>IFERROR(__xludf.DUMMYFUNCTION("""COMPUTED_VALUE"""),"Booking.com")</f>
        <v>Booking.com</v>
      </c>
      <c r="D93" s="4">
        <f>IFERROR(__xludf.DUMMYFUNCTION("""COMPUTED_VALUE"""),10.0)</f>
        <v>10</v>
      </c>
      <c r="E93" s="18">
        <f>IFERROR(__xludf.DUMMYFUNCTION("""COMPUTED_VALUE"""),46103.0)</f>
        <v>46103</v>
      </c>
      <c r="F93" s="4"/>
      <c r="G93" s="4"/>
      <c r="H93" s="4"/>
      <c r="I93" s="4" t="str">
        <f>IFERROR(__xludf.DUMMYFUNCTION("""COMPUTED_VALUE"""),"")</f>
        <v/>
      </c>
      <c r="J93" s="4" t="str">
        <f>IFERROR(__xludf.DUMMYFUNCTION("""COMPUTED_VALUE"""),"")</f>
        <v/>
      </c>
      <c r="K93" s="20" t="str">
        <f>IFERROR(__xludf.DUMMYFUNCTION("""COMPUTED_VALUE"""),"")</f>
        <v/>
      </c>
      <c r="L93" s="20" t="str">
        <f>IFERROR(__xludf.DUMMYFUNCTION("""COMPUTED_VALUE"""),"平田")</f>
        <v>平田</v>
      </c>
    </row>
    <row r="94">
      <c r="B94" s="4" t="b">
        <f>IFERROR(__xludf.DUMMYFUNCTION("""COMPUTED_VALUE"""),FALSE)</f>
        <v>0</v>
      </c>
      <c r="C94" s="17" t="str">
        <f>IFERROR(__xludf.DUMMYFUNCTION("""COMPUTED_VALUE"""),"Booking.com")</f>
        <v>Booking.com</v>
      </c>
      <c r="D94" s="4">
        <f>IFERROR(__xludf.DUMMYFUNCTION("""COMPUTED_VALUE"""),10.0)</f>
        <v>10</v>
      </c>
      <c r="E94" s="18">
        <f>IFERROR(__xludf.DUMMYFUNCTION("""COMPUTED_VALUE"""),46103.0)</f>
        <v>46103</v>
      </c>
      <c r="F94" s="4"/>
      <c r="G94" s="4" t="str">
        <f>IFERROR(__xludf.DUMMYFUNCTION("""COMPUTED_VALUE"""),"とても清潔にされている。")</f>
        <v>とても清潔にされている。</v>
      </c>
      <c r="H94" s="4" t="str">
        <f>IFERROR(__xludf.DUMMYFUNCTION("""COMPUTED_VALUE"""),"なし")</f>
        <v>なし</v>
      </c>
      <c r="I94" s="4" t="str">
        <f>IFERROR(__xludf.DUMMYFUNCTION("""COMPUTED_VALUE"""),"")</f>
        <v/>
      </c>
      <c r="J94" s="4" t="str">
        <f>IFERROR(__xludf.DUMMYFUNCTION("""COMPUTED_VALUE"""),"とても清潔にされている。")</f>
        <v>とても清潔にされている。</v>
      </c>
      <c r="K94" s="20" t="str">
        <f>IFERROR(__xludf.DUMMYFUNCTION("""COMPUTED_VALUE"""),"なし")</f>
        <v>なし</v>
      </c>
      <c r="L94" s="20" t="str">
        <f>IFERROR(__xludf.DUMMYFUNCTION("""COMPUTED_VALUE"""),"Kodera")</f>
        <v>Kodera</v>
      </c>
    </row>
    <row r="95">
      <c r="B95" s="4" t="b">
        <f>IFERROR(__xludf.DUMMYFUNCTION("""COMPUTED_VALUE"""),FALSE)</f>
        <v>0</v>
      </c>
      <c r="C95" s="4" t="str">
        <f>IFERROR(__xludf.DUMMYFUNCTION("""COMPUTED_VALUE"""),"じゃらん")</f>
        <v>じゃらん</v>
      </c>
      <c r="D95" s="4">
        <f>IFERROR(__xludf.DUMMYFUNCTION("""COMPUTED_VALUE"""),4.0)</f>
        <v>4</v>
      </c>
      <c r="E95" s="18">
        <f>IFERROR(__xludf.DUMMYFUNCTION("""COMPUTED_VALUE"""),46103.0)</f>
        <v>46103</v>
      </c>
      <c r="F95"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95" s="4"/>
      <c r="H95" s="4"/>
      <c r="I95"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95" s="4" t="str">
        <f>IFERROR(__xludf.DUMMYFUNCTION("""COMPUTED_VALUE"""),"")</f>
        <v/>
      </c>
      <c r="K95" s="20" t="str">
        <f>IFERROR(__xludf.DUMMYFUNCTION("""COMPUTED_VALUE"""),"")</f>
        <v/>
      </c>
      <c r="L95" s="20" t="str">
        <f>IFERROR(__xludf.DUMMYFUNCTION("""COMPUTED_VALUE"""),"佐藤さん")</f>
        <v>佐藤さん</v>
      </c>
    </row>
    <row r="96">
      <c r="B96" s="4" t="b">
        <f>IFERROR(__xludf.DUMMYFUNCTION("""COMPUTED_VALUE"""),FALSE)</f>
        <v>0</v>
      </c>
      <c r="C96" s="4" t="str">
        <f>IFERROR(__xludf.DUMMYFUNCTION("""COMPUTED_VALUE"""),"Agoda")</f>
        <v>Agoda</v>
      </c>
      <c r="D96" s="4">
        <f>IFERROR(__xludf.DUMMYFUNCTION("""COMPUTED_VALUE"""),10.0)</f>
        <v>10</v>
      </c>
      <c r="E96" s="18">
        <f>IFERROR(__xludf.DUMMYFUNCTION("""COMPUTED_VALUE"""),46102.0)</f>
        <v>46102</v>
      </c>
      <c r="F96" s="4" t="str">
        <f>IFERROR(__xludf.DUMMYFUNCTION("""COMPUTED_VALUE"""),"とても丁寧な接客で気持ちが良かったです！")</f>
        <v>とても丁寧な接客で気持ちが良かったです！</v>
      </c>
      <c r="G96" s="4"/>
      <c r="H96" s="4"/>
      <c r="I96" s="4" t="str">
        <f>IFERROR(__xludf.DUMMYFUNCTION("""COMPUTED_VALUE"""),"とても丁寧な接客で気持ちが良かったです！")</f>
        <v>とても丁寧な接客で気持ちが良かったです！</v>
      </c>
      <c r="J96" s="4" t="str">
        <f>IFERROR(__xludf.DUMMYFUNCTION("""COMPUTED_VALUE"""),"")</f>
        <v/>
      </c>
      <c r="K96" s="20" t="str">
        <f>IFERROR(__xludf.DUMMYFUNCTION("""COMPUTED_VALUE"""),"")</f>
        <v/>
      </c>
      <c r="L96" s="20" t="str">
        <f>IFERROR(__xludf.DUMMYFUNCTION("""COMPUTED_VALUE"""),"Yua")</f>
        <v>Yua</v>
      </c>
    </row>
    <row r="97">
      <c r="B97" s="4" t="b">
        <f>IFERROR(__xludf.DUMMYFUNCTION("""COMPUTED_VALUE"""),FALSE)</f>
        <v>0</v>
      </c>
      <c r="C97" s="4" t="str">
        <f>IFERROR(__xludf.DUMMYFUNCTION("""COMPUTED_VALUE"""),"楽天トラベル")</f>
        <v>楽天トラベル</v>
      </c>
      <c r="D97" s="4">
        <f>IFERROR(__xludf.DUMMYFUNCTION("""COMPUTED_VALUE"""),4.0)</f>
        <v>4</v>
      </c>
      <c r="E97" s="18">
        <f>IFERROR(__xludf.DUMMYFUNCTION("""COMPUTED_VALUE"""),46102.0)</f>
        <v>46102</v>
      </c>
      <c r="F97"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97" s="4"/>
      <c r="H97" s="4"/>
      <c r="I97"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97" s="4" t="str">
        <f>IFERROR(__xludf.DUMMYFUNCTION("""COMPUTED_VALUE"""),"")</f>
        <v/>
      </c>
      <c r="K97" s="20" t="str">
        <f>IFERROR(__xludf.DUMMYFUNCTION("""COMPUTED_VALUE"""),"")</f>
        <v/>
      </c>
      <c r="L97" s="20" t="str">
        <f>IFERROR(__xludf.DUMMYFUNCTION("""COMPUTED_VALUE"""),"もろこし星人")</f>
        <v>もろこし星人</v>
      </c>
    </row>
    <row r="98">
      <c r="B98" s="4" t="b">
        <f>IFERROR(__xludf.DUMMYFUNCTION("""COMPUTED_VALUE"""),FALSE)</f>
        <v>0</v>
      </c>
      <c r="C98" s="4" t="str">
        <f>IFERROR(__xludf.DUMMYFUNCTION("""COMPUTED_VALUE"""),"じゃらん")</f>
        <v>じゃらん</v>
      </c>
      <c r="D98" s="4">
        <f>IFERROR(__xludf.DUMMYFUNCTION("""COMPUTED_VALUE"""),5.0)</f>
        <v>5</v>
      </c>
      <c r="E98" s="18">
        <f>IFERROR(__xludf.DUMMYFUNCTION("""COMPUTED_VALUE"""),46102.0)</f>
        <v>46102</v>
      </c>
      <c r="F98"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98" s="4"/>
      <c r="H98" s="4"/>
      <c r="I98"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98" s="4" t="str">
        <f>IFERROR(__xludf.DUMMYFUNCTION("""COMPUTED_VALUE"""),"")</f>
        <v/>
      </c>
      <c r="K98" s="20" t="str">
        <f>IFERROR(__xludf.DUMMYFUNCTION("""COMPUTED_VALUE"""),"")</f>
        <v/>
      </c>
      <c r="L98" s="20" t="str">
        <f>IFERROR(__xludf.DUMMYFUNCTION("""COMPUTED_VALUE"""),"ま。さん")</f>
        <v>ま。さん</v>
      </c>
    </row>
    <row r="99">
      <c r="B99" s="4" t="b">
        <f>IFERROR(__xludf.DUMMYFUNCTION("""COMPUTED_VALUE"""),FALSE)</f>
        <v>0</v>
      </c>
      <c r="C99" s="17" t="str">
        <f>IFERROR(__xludf.DUMMYFUNCTION("""COMPUTED_VALUE"""),"Booking.com")</f>
        <v>Booking.com</v>
      </c>
      <c r="D99" s="4">
        <f>IFERROR(__xludf.DUMMYFUNCTION("""COMPUTED_VALUE"""),8.0)</f>
        <v>8</v>
      </c>
      <c r="E99" s="18">
        <f>IFERROR(__xludf.DUMMYFUNCTION("""COMPUTED_VALUE"""),46101.0)</f>
        <v>46101</v>
      </c>
      <c r="F99" s="4"/>
      <c r="G99" s="4"/>
      <c r="H99" s="4"/>
      <c r="I99" s="4" t="str">
        <f>IFERROR(__xludf.DUMMYFUNCTION("""COMPUTED_VALUE"""),"")</f>
        <v/>
      </c>
      <c r="J99" s="4" t="str">
        <f>IFERROR(__xludf.DUMMYFUNCTION("""COMPUTED_VALUE"""),"")</f>
        <v/>
      </c>
      <c r="K99" s="20" t="str">
        <f>IFERROR(__xludf.DUMMYFUNCTION("""COMPUTED_VALUE"""),"")</f>
        <v/>
      </c>
      <c r="L99" s="20" t="str">
        <f>IFERROR(__xludf.DUMMYFUNCTION("""COMPUTED_VALUE"""),"Shotaro")</f>
        <v>Shotaro</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17" t="str">
        <f>IFERROR(__xludf.DUMMYFUNCTION("""COMPUTED_VALUE"""),"Booking.com")</f>
        <v>Booking.com</v>
      </c>
      <c r="D100" s="4">
        <f>IFERROR(__xludf.DUMMYFUNCTION("""COMPUTED_VALUE"""),9.0)</f>
        <v>9</v>
      </c>
      <c r="E100" s="18">
        <f>IFERROR(__xludf.DUMMYFUNCTION("""COMPUTED_VALUE"""),46101.0)</f>
        <v>46101</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IFERROR(__xludf.DUMMYFUNCTION("""COMPUTED_VALUE"""),"Sorano")</f>
        <v>Sorano</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17" t="str">
        <f>IFERROR(__xludf.DUMMYFUNCTION("""COMPUTED_VALUE"""),"Trip.com")</f>
        <v>Trip.com</v>
      </c>
      <c r="D101" s="4">
        <f>IFERROR(__xludf.DUMMYFUNCTION("""COMPUTED_VALUE"""),10.0)</f>
        <v>10</v>
      </c>
      <c r="E101" s="18">
        <f>IFERROR(__xludf.DUMMYFUNCTION("""COMPUTED_VALUE"""),46101.0)</f>
        <v>46101</v>
      </c>
      <c r="F101" s="4" t="str">
        <f>IFERROR(__xludf.DUMMYFUNCTION("""COMPUTED_VALUE"""),"スタッフの方々もすごく親切で快適に宿泊できました。")</f>
        <v>スタッフの方々もすごく親切で快適に宿泊できました。</v>
      </c>
      <c r="G101" s="4"/>
      <c r="H101" s="4"/>
      <c r="I101" s="4" t="str">
        <f>IFERROR(__xludf.DUMMYFUNCTION("""COMPUTED_VALUE"""),"スタッフの方々もすごく親切で快適に宿泊できました。")</f>
        <v>スタッフの方々もすごく親切で快適に宿泊できました。</v>
      </c>
      <c r="J101" s="4" t="str">
        <f>IFERROR(__xludf.DUMMYFUNCTION("""COMPUTED_VALUE"""),"")</f>
        <v/>
      </c>
      <c r="K101" s="20" t="str">
        <f>IFERROR(__xludf.DUMMYFUNCTION("""COMPUTED_VALUE"""),"")</f>
        <v/>
      </c>
      <c r="L101" s="20" t="str">
        <f>IFERROR(__xludf.DUMMYFUNCTION("""COMPUTED_VALUE"""),"ゲ‍ス‍ト")</f>
        <v>ゲ‍ス‍ト</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17" t="str">
        <f>IFERROR(__xludf.DUMMYFUNCTION("""COMPUTED_VALUE"""),"Booking.com")</f>
        <v>Booking.com</v>
      </c>
      <c r="D102" s="4">
        <f>IFERROR(__xludf.DUMMYFUNCTION("""COMPUTED_VALUE"""),10.0)</f>
        <v>10</v>
      </c>
      <c r="E102" s="18">
        <f>IFERROR(__xludf.DUMMYFUNCTION("""COMPUTED_VALUE"""),46101.0)</f>
        <v>46101</v>
      </c>
      <c r="F102" s="4"/>
      <c r="G102"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02" s="4" t="str">
        <f>IFERROR(__xludf.DUMMYFUNCTION("""COMPUTED_VALUE"""),"ないです。")</f>
        <v>ないです。</v>
      </c>
      <c r="I102" s="4" t="str">
        <f>IFERROR(__xludf.DUMMYFUNCTION("""COMPUTED_VALUE"""),"")</f>
        <v/>
      </c>
      <c r="J102"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02" s="20" t="str">
        <f>IFERROR(__xludf.DUMMYFUNCTION("""COMPUTED_VALUE"""),"ないです。")</f>
        <v>ないです。</v>
      </c>
      <c r="L102" s="20" t="str">
        <f>IFERROR(__xludf.DUMMYFUNCTION("""COMPUTED_VALUE"""),"飯森")</f>
        <v>飯森</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17" t="str">
        <f>IFERROR(__xludf.DUMMYFUNCTION("""COMPUTED_VALUE"""),"Trip.com")</f>
        <v>Trip.com</v>
      </c>
      <c r="D103" s="4">
        <f>IFERROR(__xludf.DUMMYFUNCTION("""COMPUTED_VALUE"""),9.0)</f>
        <v>9</v>
      </c>
      <c r="E103" s="18">
        <f>IFERROR(__xludf.DUMMYFUNCTION("""COMPUTED_VALUE"""),46100.0)</f>
        <v>46100</v>
      </c>
      <c r="F103"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03" s="4"/>
      <c r="H103" s="4"/>
      <c r="I103"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03" s="4" t="str">
        <f>IFERROR(__xludf.DUMMYFUNCTION("""COMPUTED_VALUE"""),"")</f>
        <v/>
      </c>
      <c r="K103" s="20" t="str">
        <f>IFERROR(__xludf.DUMMYFUNCTION("""COMPUTED_VALUE"""),"")</f>
        <v/>
      </c>
      <c r="L103" s="20" t="str">
        <f>IFERROR(__xludf.DUMMYFUNCTION("""COMPUTED_VALUE"""),"ゲ‍ス‍ト")</f>
        <v>ゲ‍ス‍ト</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4" t="str">
        <f>IFERROR(__xludf.DUMMYFUNCTION("""COMPUTED_VALUE"""),"楽天トラベル")</f>
        <v>楽天トラベル</v>
      </c>
      <c r="D104" s="4">
        <f>IFERROR(__xludf.DUMMYFUNCTION("""COMPUTED_VALUE"""),5.0)</f>
        <v>5</v>
      </c>
      <c r="E104" s="18">
        <f>IFERROR(__xludf.DUMMYFUNCTION("""COMPUTED_VALUE"""),46100.0)</f>
        <v>46100</v>
      </c>
      <c r="F104"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04" s="4"/>
      <c r="H104" s="4"/>
      <c r="I104"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04" s="4" t="str">
        <f>IFERROR(__xludf.DUMMYFUNCTION("""COMPUTED_VALUE"""),"")</f>
        <v/>
      </c>
      <c r="K104" s="20" t="str">
        <f>IFERROR(__xludf.DUMMYFUNCTION("""COMPUTED_VALUE"""),"")</f>
        <v/>
      </c>
      <c r="L104" s="20" t="str">
        <f>IFERROR(__xludf.DUMMYFUNCTION("""COMPUTED_VALUE"""),"1macham")</f>
        <v>1macham</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4" t="str">
        <f>IFERROR(__xludf.DUMMYFUNCTION("""COMPUTED_VALUE"""),"じゃらん")</f>
        <v>じゃらん</v>
      </c>
      <c r="D105" s="4">
        <f>IFERROR(__xludf.DUMMYFUNCTION("""COMPUTED_VALUE"""),5.0)</f>
        <v>5</v>
      </c>
      <c r="E105" s="18">
        <f>IFERROR(__xludf.DUMMYFUNCTION("""COMPUTED_VALUE"""),46100.0)</f>
        <v>46100</v>
      </c>
      <c r="F105"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05" s="4"/>
      <c r="H105" s="4"/>
      <c r="I105"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05" s="4" t="str">
        <f>IFERROR(__xludf.DUMMYFUNCTION("""COMPUTED_VALUE"""),"")</f>
        <v/>
      </c>
      <c r="K105" s="20" t="str">
        <f>IFERROR(__xludf.DUMMYFUNCTION("""COMPUTED_VALUE"""),"")</f>
        <v/>
      </c>
      <c r="L105" s="20" t="str">
        <f>IFERROR(__xludf.DUMMYFUNCTION("""COMPUTED_VALUE"""),"シホさん")</f>
        <v>シホさん</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4" t="str">
        <f>IFERROR(__xludf.DUMMYFUNCTION("""COMPUTED_VALUE"""),"楽天トラベル")</f>
        <v>楽天トラベル</v>
      </c>
      <c r="D106" s="4">
        <f>IFERROR(__xludf.DUMMYFUNCTION("""COMPUTED_VALUE"""),5.0)</f>
        <v>5</v>
      </c>
      <c r="E106" s="18">
        <f>IFERROR(__xludf.DUMMYFUNCTION("""COMPUTED_VALUE"""),46099.0)</f>
        <v>46099</v>
      </c>
      <c r="F106"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06" s="4"/>
      <c r="H106" s="4"/>
      <c r="I106"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06" s="4" t="str">
        <f>IFERROR(__xludf.DUMMYFUNCTION("""COMPUTED_VALUE"""),"")</f>
        <v/>
      </c>
      <c r="K106" s="20" t="str">
        <f>IFERROR(__xludf.DUMMYFUNCTION("""COMPUTED_VALUE"""),"")</f>
        <v/>
      </c>
      <c r="L106" s="20" t="str">
        <f>IFERROR(__xludf.DUMMYFUNCTION("""COMPUTED_VALUE"""),"不明")</f>
        <v>不明</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IFERROR(__xludf.DUMMYFUNCTION("""COMPUTED_VALUE"""),46099.0)</f>
        <v>46099</v>
      </c>
      <c r="F107" s="4" t="str">
        <f>IFERROR(__xludf.DUMMYFUNCTION("""COMPUTED_VALUE"""),"冷凍と冷蔵で分かれてる冷蔵庫が助かりました")</f>
        <v>冷凍と冷蔵で分かれてる冷蔵庫が助かりました</v>
      </c>
      <c r="G107" s="4"/>
      <c r="H107" s="4"/>
      <c r="I107" s="4" t="str">
        <f>IFERROR(__xludf.DUMMYFUNCTION("""COMPUTED_VALUE"""),"冷凍と冷蔵で分かれてる冷蔵庫が助かりました")</f>
        <v>冷凍と冷蔵で分かれてる冷蔵庫が助かりました</v>
      </c>
      <c r="J107" s="4" t="str">
        <f>IFERROR(__xludf.DUMMYFUNCTION("""COMPUTED_VALUE"""),"")</f>
        <v/>
      </c>
      <c r="K107" s="20" t="str">
        <f>IFERROR(__xludf.DUMMYFUNCTION("""COMPUTED_VALUE"""),"")</f>
        <v/>
      </c>
      <c r="L107" s="20" t="str">
        <f>IFERROR(__xludf.DUMMYFUNCTION("""COMPUTED_VALUE"""),"meikobu")</f>
        <v>meikobu</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4" t="str">
        <f>IFERROR(__xludf.DUMMYFUNCTION("""COMPUTED_VALUE"""),"Agoda")</f>
        <v>Agoda</v>
      </c>
      <c r="D108" s="4">
        <f>IFERROR(__xludf.DUMMYFUNCTION("""COMPUTED_VALUE"""),10.0)</f>
        <v>10</v>
      </c>
      <c r="E108" s="18">
        <f>IFERROR(__xludf.DUMMYFUNCTION("""COMPUTED_VALUE"""),46098.0)</f>
        <v>46098</v>
      </c>
      <c r="F108" s="4" t="str">
        <f>IFERROR(__xludf.DUMMYFUNCTION("""COMPUTED_VALUE"""),"お部屋も綺麗で親切な対応をしていただいたのでとても良かったです。")</f>
        <v>お部屋も綺麗で親切な対応をしていただいたのでとても良かったです。</v>
      </c>
      <c r="G108" s="4"/>
      <c r="H108" s="4"/>
      <c r="I108" s="4" t="str">
        <f>IFERROR(__xludf.DUMMYFUNCTION("""COMPUTED_VALUE"""),"お部屋も綺麗で親切な対応をしていただいたのでとても良かったです。")</f>
        <v>お部屋も綺麗で親切な対応をしていただいたのでとても良かったです。</v>
      </c>
      <c r="J108" s="4" t="str">
        <f>IFERROR(__xludf.DUMMYFUNCTION("""COMPUTED_VALUE"""),"")</f>
        <v/>
      </c>
      <c r="K108" s="20" t="str">
        <f>IFERROR(__xludf.DUMMYFUNCTION("""COMPUTED_VALUE"""),"")</f>
        <v/>
      </c>
      <c r="L108" s="20" t="str">
        <f>IFERROR(__xludf.DUMMYFUNCTION("""COMPUTED_VALUE"""),"TAKUMI")</f>
        <v>TAKUMI</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4" t="str">
        <f>IFERROR(__xludf.DUMMYFUNCTION("""COMPUTED_VALUE"""),"Google")</f>
        <v>Google</v>
      </c>
      <c r="D109" s="4">
        <f>IFERROR(__xludf.DUMMYFUNCTION("""COMPUTED_VALUE"""),4.0)</f>
        <v>4</v>
      </c>
      <c r="E109" s="18">
        <f>IFERROR(__xludf.DUMMYFUNCTION("""COMPUTED_VALUE"""),46098.0)</f>
        <v>46098</v>
      </c>
      <c r="F109"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09" s="4"/>
      <c r="H109" s="4"/>
      <c r="I109"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09" s="4" t="str">
        <f>IFERROR(__xludf.DUMMYFUNCTION("""COMPUTED_VALUE"""),"")</f>
        <v/>
      </c>
      <c r="K109" s="20" t="str">
        <f>IFERROR(__xludf.DUMMYFUNCTION("""COMPUTED_VALUE"""),"")</f>
        <v/>
      </c>
      <c r="L109" s="20" t="str">
        <f>IFERROR(__xludf.DUMMYFUNCTION("""COMPUTED_VALUE"""),"y.m")</f>
        <v>y.m</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IFERROR(__xludf.DUMMYFUNCTION("""COMPUTED_VALUE"""),"Google")</f>
        <v>Google</v>
      </c>
      <c r="D110" s="4">
        <f>IFERROR(__xludf.DUMMYFUNCTION("""COMPUTED_VALUE"""),4.0)</f>
        <v>4</v>
      </c>
      <c r="E110" s="18">
        <f>IFERROR(__xludf.DUMMYFUNCTION("""COMPUTED_VALUE"""),46098.0)</f>
        <v>46098</v>
      </c>
      <c r="F110"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10" s="4"/>
      <c r="H110" s="4"/>
      <c r="I110"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10" s="4" t="str">
        <f>IFERROR(__xludf.DUMMYFUNCTION("""COMPUTED_VALUE"""),"")</f>
        <v/>
      </c>
      <c r="K110" s="20" t="str">
        <f>IFERROR(__xludf.DUMMYFUNCTION("""COMPUTED_VALUE"""),"")</f>
        <v/>
      </c>
      <c r="L110" s="20" t="str">
        <f>IFERROR(__xludf.DUMMYFUNCTION("""COMPUTED_VALUE"""),"1102 Yohey")</f>
        <v>1102 Yohey</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4" t="str">
        <f>IFERROR(__xludf.DUMMYFUNCTION("""COMPUTED_VALUE"""),"Google")</f>
        <v>Google</v>
      </c>
      <c r="D111" s="4">
        <f>IFERROR(__xludf.DUMMYFUNCTION("""COMPUTED_VALUE"""),5.0)</f>
        <v>5</v>
      </c>
      <c r="E111" s="18">
        <f>IFERROR(__xludf.DUMMYFUNCTION("""COMPUTED_VALUE"""),46098.0)</f>
        <v>46098</v>
      </c>
      <c r="F111" s="4"/>
      <c r="G111" s="4"/>
      <c r="H111" s="4"/>
      <c r="I111" s="4" t="str">
        <f>IFERROR(__xludf.DUMMYFUNCTION("""COMPUTED_VALUE"""),"")</f>
        <v/>
      </c>
      <c r="J111" s="4" t="str">
        <f>IFERROR(__xludf.DUMMYFUNCTION("""COMPUTED_VALUE"""),"")</f>
        <v/>
      </c>
      <c r="K111" s="20" t="str">
        <f>IFERROR(__xludf.DUMMYFUNCTION("""COMPUTED_VALUE"""),"")</f>
        <v/>
      </c>
      <c r="L111" s="20" t="str">
        <f>IFERROR(__xludf.DUMMYFUNCTION("""COMPUTED_VALUE"""),"Aya")</f>
        <v>Aya</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IFERROR(__xludf.DUMMYFUNCTION("""COMPUTED_VALUE"""),46098.0)</f>
        <v>46098</v>
      </c>
      <c r="F112"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12" s="4"/>
      <c r="H112" s="4"/>
      <c r="I112"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12" s="4" t="str">
        <f>IFERROR(__xludf.DUMMYFUNCTION("""COMPUTED_VALUE"""),"")</f>
        <v/>
      </c>
      <c r="K112" s="20" t="str">
        <f>IFERROR(__xludf.DUMMYFUNCTION("""COMPUTED_VALUE"""),"")</f>
        <v/>
      </c>
      <c r="L112" s="20" t="str">
        <f>IFERROR(__xludf.DUMMYFUNCTION("""COMPUTED_VALUE"""),"ふぃがろがすき")</f>
        <v>ふぃがろがすき</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4" t="str">
        <f>IFERROR(__xludf.DUMMYFUNCTION("""COMPUTED_VALUE"""),"じゃらん")</f>
        <v>じゃらん</v>
      </c>
      <c r="D113" s="4">
        <f>IFERROR(__xludf.DUMMYFUNCTION("""COMPUTED_VALUE"""),4.0)</f>
        <v>4</v>
      </c>
      <c r="E113" s="18">
        <f>IFERROR(__xludf.DUMMYFUNCTION("""COMPUTED_VALUE"""),46098.0)</f>
        <v>46098</v>
      </c>
      <c r="F113"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13" s="4"/>
      <c r="H113" s="4"/>
      <c r="I113"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13" s="4" t="str">
        <f>IFERROR(__xludf.DUMMYFUNCTION("""COMPUTED_VALUE"""),"")</f>
        <v/>
      </c>
      <c r="K113" s="20" t="str">
        <f>IFERROR(__xludf.DUMMYFUNCTION("""COMPUTED_VALUE"""),"")</f>
        <v/>
      </c>
      <c r="L113" s="20" t="str">
        <f>IFERROR(__xludf.DUMMYFUNCTION("""COMPUTED_VALUE"""),"なねさん")</f>
        <v>なねさん</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4" t="str">
        <f>IFERROR(__xludf.DUMMYFUNCTION("""COMPUTED_VALUE"""),"楽天トラベル")</f>
        <v>楽天トラベル</v>
      </c>
      <c r="D114" s="4">
        <f>IFERROR(__xludf.DUMMYFUNCTION("""COMPUTED_VALUE"""),5.0)</f>
        <v>5</v>
      </c>
      <c r="E114" s="18">
        <f>IFERROR(__xludf.DUMMYFUNCTION("""COMPUTED_VALUE"""),46097.0)</f>
        <v>46097</v>
      </c>
      <c r="F114"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14" s="4"/>
      <c r="H114" s="4"/>
      <c r="I114"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14" s="4" t="str">
        <f>IFERROR(__xludf.DUMMYFUNCTION("""COMPUTED_VALUE"""),"")</f>
        <v/>
      </c>
      <c r="K114" s="20" t="str">
        <f>IFERROR(__xludf.DUMMYFUNCTION("""COMPUTED_VALUE"""),"")</f>
        <v/>
      </c>
      <c r="L114" s="20" t="str">
        <f>IFERROR(__xludf.DUMMYFUNCTION("""COMPUTED_VALUE"""),"プリン01418")</f>
        <v>プリン01418</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17" t="str">
        <f>IFERROR(__xludf.DUMMYFUNCTION("""COMPUTED_VALUE"""),"Trip.com")</f>
        <v>Trip.com</v>
      </c>
      <c r="D115" s="4">
        <f>IFERROR(__xludf.DUMMYFUNCTION("""COMPUTED_VALUE"""),10.0)</f>
        <v>10</v>
      </c>
      <c r="E115" s="18">
        <f>IFERROR(__xludf.DUMMYFUNCTION("""COMPUTED_VALUE"""),46097.0)</f>
        <v>46097</v>
      </c>
      <c r="F115"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15" s="4"/>
      <c r="H115" s="4"/>
      <c r="I115"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IFERROR(__xludf.DUMMYFUNCTION("""COMPUTED_VALUE"""),"Agoda")</f>
        <v>Agoda</v>
      </c>
      <c r="D116" s="4">
        <f>IFERROR(__xludf.DUMMYFUNCTION("""COMPUTED_VALUE"""),10.0)</f>
        <v>10</v>
      </c>
      <c r="E116" s="18">
        <f>IFERROR(__xludf.DUMMYFUNCTION("""COMPUTED_VALUE"""),46097.0)</f>
        <v>46097</v>
      </c>
      <c r="F116"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16" s="4"/>
      <c r="H116" s="4"/>
      <c r="I116"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16" s="4" t="str">
        <f>IFERROR(__xludf.DUMMYFUNCTION("""COMPUTED_VALUE"""),"")</f>
        <v/>
      </c>
      <c r="K116" s="20" t="str">
        <f>IFERROR(__xludf.DUMMYFUNCTION("""COMPUTED_VALUE"""),"")</f>
        <v/>
      </c>
      <c r="L116" s="20" t="str">
        <f>IFERROR(__xludf.DUMMYFUNCTION("""COMPUTED_VALUE"""),"yusei")</f>
        <v>yusei</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IFERROR(__xludf.DUMMYFUNCTION("""COMPUTED_VALUE"""),"Agoda")</f>
        <v>Agoda</v>
      </c>
      <c r="D117" s="4">
        <f>IFERROR(__xludf.DUMMYFUNCTION("""COMPUTED_VALUE"""),8.0)</f>
        <v>8</v>
      </c>
      <c r="E117" s="18">
        <f>IFERROR(__xludf.DUMMYFUNCTION("""COMPUTED_VALUE"""),46097.0)</f>
        <v>46097</v>
      </c>
      <c r="F117"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17" s="4"/>
      <c r="H117" s="4"/>
      <c r="I117"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17" s="4" t="str">
        <f>IFERROR(__xludf.DUMMYFUNCTION("""COMPUTED_VALUE"""),"")</f>
        <v/>
      </c>
      <c r="K117" s="20" t="str">
        <f>IFERROR(__xludf.DUMMYFUNCTION("""COMPUTED_VALUE"""),"")</f>
        <v/>
      </c>
      <c r="L117" s="20" t="str">
        <f>IFERROR(__xludf.DUMMYFUNCTION("""COMPUTED_VALUE"""),"ERI")</f>
        <v>ERI</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IFERROR(__xludf.DUMMYFUNCTION("""COMPUTED_VALUE"""),"Agoda")</f>
        <v>Agoda</v>
      </c>
      <c r="D118" s="4">
        <f>IFERROR(__xludf.DUMMYFUNCTION("""COMPUTED_VALUE"""),10.0)</f>
        <v>10</v>
      </c>
      <c r="E118" s="18">
        <f>IFERROR(__xludf.DUMMYFUNCTION("""COMPUTED_VALUE"""),46097.0)</f>
        <v>46097</v>
      </c>
      <c r="F118"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18" s="4"/>
      <c r="H118" s="4"/>
      <c r="I118"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18" s="4" t="str">
        <f>IFERROR(__xludf.DUMMYFUNCTION("""COMPUTED_VALUE"""),"")</f>
        <v/>
      </c>
      <c r="K118" s="20" t="str">
        <f>IFERROR(__xludf.DUMMYFUNCTION("""COMPUTED_VALUE"""),"")</f>
        <v/>
      </c>
      <c r="L118" s="20" t="str">
        <f>IFERROR(__xludf.DUMMYFUNCTION("""COMPUTED_VALUE"""),"Chisaki")</f>
        <v>Chisaki</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17" t="str">
        <f>IFERROR(__xludf.DUMMYFUNCTION("""COMPUTED_VALUE"""),"Booking.com")</f>
        <v>Booking.com</v>
      </c>
      <c r="D119" s="4">
        <f>IFERROR(__xludf.DUMMYFUNCTION("""COMPUTED_VALUE"""),4.0)</f>
        <v>4</v>
      </c>
      <c r="E119" s="18">
        <f>IFERROR(__xludf.DUMMYFUNCTION("""COMPUTED_VALUE"""),46096.0)</f>
        <v>46096</v>
      </c>
      <c r="F119" s="4"/>
      <c r="G119" s="4"/>
      <c r="H119" s="4"/>
      <c r="I119" s="4" t="str">
        <f>IFERROR(__xludf.DUMMYFUNCTION("""COMPUTED_VALUE"""),"")</f>
        <v/>
      </c>
      <c r="J119" s="4" t="str">
        <f>IFERROR(__xludf.DUMMYFUNCTION("""COMPUTED_VALUE"""),"")</f>
        <v/>
      </c>
      <c r="K119" s="20" t="str">
        <f>IFERROR(__xludf.DUMMYFUNCTION("""COMPUTED_VALUE"""),"")</f>
        <v/>
      </c>
      <c r="L119" s="20" t="str">
        <f>IFERROR(__xludf.DUMMYFUNCTION("""COMPUTED_VALUE"""),"前山")</f>
        <v>前山</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4" t="str">
        <f>IFERROR(__xludf.DUMMYFUNCTION("""COMPUTED_VALUE"""),"Google")</f>
        <v>Google</v>
      </c>
      <c r="D120" s="4">
        <f>IFERROR(__xludf.DUMMYFUNCTION("""COMPUTED_VALUE"""),5.0)</f>
        <v>5</v>
      </c>
      <c r="E120" s="18">
        <f>IFERROR(__xludf.DUMMYFUNCTION("""COMPUTED_VALUE"""),46096.0)</f>
        <v>46096</v>
      </c>
      <c r="F120"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20" s="4"/>
      <c r="H120" s="4"/>
      <c r="I120"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20" s="4" t="str">
        <f>IFERROR(__xludf.DUMMYFUNCTION("""COMPUTED_VALUE"""),"")</f>
        <v/>
      </c>
      <c r="K120" s="20" t="str">
        <f>IFERROR(__xludf.DUMMYFUNCTION("""COMPUTED_VALUE"""),"")</f>
        <v/>
      </c>
      <c r="L120" s="20" t="str">
        <f>IFERROR(__xludf.DUMMYFUNCTION("""COMPUTED_VALUE"""),"HNルンルン")</f>
        <v>HNルンルン</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4" t="str">
        <f>IFERROR(__xludf.DUMMYFUNCTION("""COMPUTED_VALUE"""),"楽天トラベル")</f>
        <v>楽天トラベル</v>
      </c>
      <c r="D121" s="4">
        <f>IFERROR(__xludf.DUMMYFUNCTION("""COMPUTED_VALUE"""),4.0)</f>
        <v>4</v>
      </c>
      <c r="E121" s="18">
        <f>IFERROR(__xludf.DUMMYFUNCTION("""COMPUTED_VALUE"""),46096.0)</f>
        <v>46096</v>
      </c>
      <c r="F121"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21" s="4"/>
      <c r="H121" s="4"/>
      <c r="I121"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21" s="4" t="str">
        <f>IFERROR(__xludf.DUMMYFUNCTION("""COMPUTED_VALUE"""),"")</f>
        <v/>
      </c>
      <c r="K121" s="20" t="str">
        <f>IFERROR(__xludf.DUMMYFUNCTION("""COMPUTED_VALUE"""),"")</f>
        <v/>
      </c>
      <c r="L121" s="20" t="str">
        <f>IFERROR(__xludf.DUMMYFUNCTION("""COMPUTED_VALUE"""),"sumissi")</f>
        <v>sumissi</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4" t="str">
        <f>IFERROR(__xludf.DUMMYFUNCTION("""COMPUTED_VALUE"""),"楽天トラベル")</f>
        <v>楽天トラベル</v>
      </c>
      <c r="D122" s="4">
        <f>IFERROR(__xludf.DUMMYFUNCTION("""COMPUTED_VALUE"""),5.0)</f>
        <v>5</v>
      </c>
      <c r="E122" s="18">
        <f>IFERROR(__xludf.DUMMYFUNCTION("""COMPUTED_VALUE"""),46095.0)</f>
        <v>46095</v>
      </c>
      <c r="F122"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22" s="4"/>
      <c r="H122" s="4"/>
      <c r="I122"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22" s="4" t="str">
        <f>IFERROR(__xludf.DUMMYFUNCTION("""COMPUTED_VALUE"""),"")</f>
        <v/>
      </c>
      <c r="K122" s="20" t="str">
        <f>IFERROR(__xludf.DUMMYFUNCTION("""COMPUTED_VALUE"""),"")</f>
        <v/>
      </c>
      <c r="L122" s="20" t="str">
        <f>IFERROR(__xludf.DUMMYFUNCTION("""COMPUTED_VALUE"""),"msa462u")</f>
        <v>msa462u</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17" t="str">
        <f>IFERROR(__xludf.DUMMYFUNCTION("""COMPUTED_VALUE"""),"Booking.com")</f>
        <v>Booking.com</v>
      </c>
      <c r="D123" s="4">
        <f>IFERROR(__xludf.DUMMYFUNCTION("""COMPUTED_VALUE"""),10.0)</f>
        <v>10</v>
      </c>
      <c r="E123" s="18">
        <f>IFERROR(__xludf.DUMMYFUNCTION("""COMPUTED_VALUE"""),46095.0)</f>
        <v>46095</v>
      </c>
      <c r="F123" s="4"/>
      <c r="G123" s="4"/>
      <c r="H123" s="4"/>
      <c r="I123" s="4" t="str">
        <f>IFERROR(__xludf.DUMMYFUNCTION("""COMPUTED_VALUE"""),"")</f>
        <v/>
      </c>
      <c r="J123" s="4" t="str">
        <f>IFERROR(__xludf.DUMMYFUNCTION("""COMPUTED_VALUE"""),"")</f>
        <v/>
      </c>
      <c r="K123" s="20" t="str">
        <f>IFERROR(__xludf.DUMMYFUNCTION("""COMPUTED_VALUE"""),"")</f>
        <v/>
      </c>
      <c r="L123" s="20" t="str">
        <f>IFERROR(__xludf.DUMMYFUNCTION("""COMPUTED_VALUE"""),"Kanade")</f>
        <v>Kanade</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4" t="str">
        <f>IFERROR(__xludf.DUMMYFUNCTION("""COMPUTED_VALUE"""),"楽天トラベル")</f>
        <v>楽天トラベル</v>
      </c>
      <c r="D124" s="4">
        <f>IFERROR(__xludf.DUMMYFUNCTION("""COMPUTED_VALUE"""),5.0)</f>
        <v>5</v>
      </c>
      <c r="E124" s="18">
        <f>IFERROR(__xludf.DUMMYFUNCTION("""COMPUTED_VALUE"""),46094.0)</f>
        <v>46094</v>
      </c>
      <c r="F124"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24" s="4"/>
      <c r="H124" s="4"/>
      <c r="I124"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24" s="4" t="str">
        <f>IFERROR(__xludf.DUMMYFUNCTION("""COMPUTED_VALUE"""),"")</f>
        <v/>
      </c>
      <c r="K124" s="20" t="str">
        <f>IFERROR(__xludf.DUMMYFUNCTION("""COMPUTED_VALUE"""),"")</f>
        <v/>
      </c>
      <c r="L124" s="20" t="str">
        <f>IFERROR(__xludf.DUMMYFUNCTION("""COMPUTED_VALUE"""),"きゅきゅち")</f>
        <v>きゅきゅち</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c r="C125" s="4"/>
      <c r="D125" s="4"/>
      <c r="E125" s="4"/>
      <c r="F125" s="4"/>
      <c r="G125" s="4"/>
      <c r="H125" s="4"/>
      <c r="I125" s="4"/>
      <c r="J125" s="4"/>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c r="C126" s="4"/>
      <c r="D126" s="4"/>
      <c r="E126" s="4"/>
      <c r="F126" s="4"/>
      <c r="G126" s="4"/>
      <c r="H126" s="4"/>
      <c r="I126" s="4"/>
      <c r="J126" s="4"/>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c r="C127" s="4"/>
      <c r="D127" s="4"/>
      <c r="E127" s="4"/>
      <c r="F127" s="4"/>
      <c r="G127" s="4"/>
      <c r="H127" s="4"/>
      <c r="I127" s="4"/>
      <c r="J127" s="4"/>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c r="C128" s="4"/>
      <c r="D128" s="4"/>
      <c r="E128" s="4"/>
      <c r="F128" s="4"/>
      <c r="G128" s="4"/>
      <c r="H128" s="4"/>
      <c r="I128" s="4"/>
      <c r="J128" s="4"/>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c r="C129" s="4"/>
      <c r="D129" s="4"/>
      <c r="E129" s="4"/>
      <c r="F129" s="4"/>
      <c r="G129" s="4"/>
      <c r="H129" s="4"/>
      <c r="I129" s="4"/>
      <c r="J129" s="4"/>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c r="C130" s="4"/>
      <c r="D130" s="4"/>
      <c r="E130" s="4"/>
      <c r="F130" s="4"/>
      <c r="G130" s="4"/>
      <c r="H130" s="4"/>
      <c r="I130" s="4"/>
      <c r="J130" s="4"/>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c r="C131" s="4"/>
      <c r="D131" s="4"/>
      <c r="E131" s="4"/>
      <c r="F131" s="4"/>
      <c r="G131" s="4"/>
      <c r="H131" s="4"/>
      <c r="I131" s="4"/>
      <c r="J131" s="4"/>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c r="C132" s="4"/>
      <c r="D132" s="4"/>
      <c r="E132" s="4"/>
      <c r="F132" s="4"/>
      <c r="G132" s="4"/>
      <c r="H132" s="4"/>
      <c r="I132" s="4"/>
      <c r="J132" s="4"/>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c r="C133" s="4"/>
      <c r="D133" s="4"/>
      <c r="E133" s="4"/>
      <c r="F133" s="4"/>
      <c r="G133" s="4"/>
      <c r="H133" s="4"/>
      <c r="I133" s="4"/>
      <c r="J133" s="4"/>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c r="C134" s="4"/>
      <c r="D134" s="4"/>
      <c r="E134" s="4"/>
      <c r="F134" s="4"/>
      <c r="G134" s="4"/>
      <c r="H134" s="4"/>
      <c r="I134" s="4"/>
      <c r="J134" s="4"/>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c r="C135" s="4"/>
      <c r="D135" s="4"/>
      <c r="E135" s="4"/>
      <c r="F135" s="4"/>
      <c r="G135" s="4"/>
      <c r="H135" s="4"/>
      <c r="I135" s="4"/>
      <c r="J135" s="4"/>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c r="C136" s="4"/>
      <c r="D136" s="4"/>
      <c r="E136" s="4"/>
      <c r="F136" s="4"/>
      <c r="G136" s="4"/>
      <c r="H136" s="4"/>
      <c r="I136" s="4"/>
      <c r="J136" s="4"/>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c r="C137" s="4"/>
      <c r="D137" s="4"/>
      <c r="E137" s="4"/>
      <c r="F137" s="4"/>
      <c r="G137" s="4"/>
      <c r="H137" s="4"/>
      <c r="I137" s="4"/>
      <c r="J137" s="4"/>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c r="C138" s="4"/>
      <c r="D138" s="4"/>
      <c r="E138" s="4"/>
      <c r="F138" s="4"/>
      <c r="G138" s="4"/>
      <c r="H138" s="4"/>
      <c r="I138" s="4"/>
      <c r="J138" s="4"/>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c r="C139" s="4"/>
      <c r="D139" s="4"/>
      <c r="E139" s="4"/>
      <c r="F139" s="4"/>
      <c r="G139" s="4"/>
      <c r="H139" s="4"/>
      <c r="I139" s="4"/>
      <c r="J139" s="4"/>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c r="C140" s="4"/>
      <c r="D140" s="4"/>
      <c r="E140" s="4"/>
      <c r="F140" s="4"/>
      <c r="G140" s="4"/>
      <c r="H140" s="4"/>
      <c r="I140" s="4"/>
      <c r="J140" s="4"/>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c r="C141" s="4"/>
      <c r="D141" s="4"/>
      <c r="E141" s="4"/>
      <c r="F141" s="4"/>
      <c r="G141" s="4"/>
      <c r="H141" s="4"/>
      <c r="I141" s="4"/>
      <c r="J141" s="4"/>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c r="C142" s="4"/>
      <c r="D142" s="4"/>
      <c r="E142" s="4"/>
      <c r="F142" s="4"/>
      <c r="G142" s="4"/>
      <c r="H142" s="4"/>
      <c r="I142" s="4"/>
      <c r="J142" s="4"/>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c r="C143" s="4"/>
      <c r="D143" s="4"/>
      <c r="E143" s="4"/>
      <c r="F143" s="4"/>
      <c r="G143" s="4"/>
      <c r="H143" s="4"/>
      <c r="I143" s="4"/>
      <c r="J143" s="4"/>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c r="C144" s="4"/>
      <c r="D144" s="4"/>
      <c r="E144" s="4"/>
      <c r="F144" s="4"/>
      <c r="G144" s="4"/>
      <c r="H144" s="4"/>
      <c r="I144" s="4"/>
      <c r="J144" s="4"/>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c r="C145" s="4"/>
      <c r="D145" s="4"/>
      <c r="E145" s="4"/>
      <c r="F145" s="4"/>
      <c r="G145" s="4"/>
      <c r="H145" s="4"/>
      <c r="I145" s="4"/>
      <c r="J145" s="4"/>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10"/>
    <hyperlink r:id="rId5" ref="O10"/>
    <hyperlink r:id="rId6" ref="C22"/>
    <hyperlink r:id="rId7" ref="O22"/>
    <hyperlink r:id="rId8" ref="C23"/>
    <hyperlink r:id="rId9" ref="O23"/>
    <hyperlink r:id="rId10" ref="C25"/>
    <hyperlink r:id="rId11" ref="O25"/>
    <hyperlink r:id="rId12" ref="C27"/>
    <hyperlink r:id="rId13" ref="O27"/>
    <hyperlink r:id="rId14" ref="C32"/>
    <hyperlink r:id="rId15" ref="O32"/>
    <hyperlink r:id="rId16" ref="C35"/>
    <hyperlink r:id="rId17" ref="O35"/>
    <hyperlink r:id="rId18" ref="C41"/>
    <hyperlink r:id="rId19" ref="O41"/>
    <hyperlink r:id="rId20" ref="C43"/>
    <hyperlink r:id="rId21" ref="O43"/>
    <hyperlink r:id="rId22" ref="C44"/>
    <hyperlink r:id="rId23" ref="O44"/>
    <hyperlink r:id="rId24" ref="C46"/>
    <hyperlink r:id="rId25" ref="O46"/>
    <hyperlink r:id="rId26" ref="C47"/>
    <hyperlink r:id="rId27" ref="O47"/>
    <hyperlink r:id="rId28" ref="C51"/>
    <hyperlink r:id="rId29" ref="C52"/>
    <hyperlink r:id="rId30" ref="C56"/>
    <hyperlink r:id="rId31" ref="C58"/>
    <hyperlink r:id="rId32" ref="C60"/>
    <hyperlink r:id="rId33" ref="C61"/>
    <hyperlink r:id="rId34" ref="C66"/>
    <hyperlink r:id="rId35" ref="C67"/>
    <hyperlink r:id="rId36" ref="C69"/>
    <hyperlink r:id="rId37" ref="C71"/>
    <hyperlink r:id="rId38" ref="C75"/>
    <hyperlink r:id="rId39" ref="C78"/>
    <hyperlink r:id="rId40" ref="C83"/>
    <hyperlink r:id="rId41" ref="C88"/>
    <hyperlink r:id="rId42" ref="C90"/>
    <hyperlink r:id="rId43" ref="C92"/>
    <hyperlink r:id="rId44" ref="C93"/>
    <hyperlink r:id="rId45" ref="C94"/>
    <hyperlink r:id="rId46" ref="C99"/>
    <hyperlink r:id="rId47" ref="O99"/>
    <hyperlink r:id="rId48" ref="C100"/>
    <hyperlink r:id="rId49" ref="O100"/>
    <hyperlink r:id="rId50" ref="C101"/>
    <hyperlink r:id="rId51" ref="C102"/>
    <hyperlink r:id="rId52" ref="C103"/>
    <hyperlink r:id="rId53" ref="O104"/>
    <hyperlink r:id="rId54" ref="O106"/>
    <hyperlink r:id="rId55" ref="O108"/>
    <hyperlink r:id="rId56" ref="O109"/>
    <hyperlink r:id="rId57" ref="O114"/>
    <hyperlink r:id="rId58" ref="C115"/>
    <hyperlink r:id="rId59" ref="O115"/>
    <hyperlink r:id="rId60" ref="O117"/>
    <hyperlink r:id="rId61" ref="C119"/>
    <hyperlink r:id="rId62" ref="O119"/>
    <hyperlink r:id="rId63" ref="C123"/>
    <hyperlink r:id="rId64" ref="O123"/>
    <hyperlink r:id="rId65" ref="O126"/>
    <hyperlink r:id="rId66" ref="O131"/>
    <hyperlink r:id="rId67" ref="O136"/>
    <hyperlink r:id="rId68" ref="O138"/>
    <hyperlink r:id="rId69" ref="O140"/>
    <hyperlink r:id="rId70" ref="O141"/>
    <hyperlink r:id="rId71" ref="O142"/>
    <hyperlink r:id="rId72" ref="O147"/>
    <hyperlink r:id="rId73" ref="O148"/>
    <hyperlink r:id="rId74" ref="O149"/>
    <hyperlink r:id="rId75" ref="O150"/>
    <hyperlink r:id="rId76" ref="O151"/>
    <hyperlink r:id="rId77" ref="O163"/>
    <hyperlink r:id="rId78" ref="O167"/>
    <hyperlink r:id="rId79" ref="O171"/>
  </hyperlinks>
  <drawing r:id="rId8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0.0003663003663</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2730</v>
      </c>
      <c r="W12" s="69"/>
      <c r="X12" s="79">
        <f t="shared" si="10"/>
        <v>0.0003663003663</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214</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215</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216</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217</v>
      </c>
      <c r="C5" s="194" t="s">
        <v>218</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219</v>
      </c>
      <c r="D6" s="192" t="s">
        <v>220</v>
      </c>
      <c r="F6" s="203"/>
      <c r="G6" s="204" t="s">
        <v>221</v>
      </c>
      <c r="J6" s="205" t="s">
        <v>221</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222</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223</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224</v>
      </c>
      <c r="C9" s="220" t="s">
        <v>225</v>
      </c>
      <c r="D9" s="221"/>
      <c r="E9" s="221"/>
      <c r="F9" s="221"/>
      <c r="G9" s="222" t="s">
        <v>225</v>
      </c>
      <c r="H9" s="221"/>
      <c r="I9" s="221"/>
      <c r="J9" s="222" t="s">
        <v>225</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226</v>
      </c>
      <c r="C10" s="224" t="s">
        <v>227</v>
      </c>
      <c r="D10" s="217"/>
      <c r="E10" s="217"/>
      <c r="F10" s="217"/>
      <c r="G10" s="225" t="s">
        <v>227</v>
      </c>
      <c r="H10" s="217"/>
      <c r="I10" s="217"/>
      <c r="J10" s="225" t="s">
        <v>227</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228</v>
      </c>
      <c r="C11" s="224" t="s">
        <v>229</v>
      </c>
      <c r="D11" s="217"/>
      <c r="E11" s="217"/>
      <c r="F11" s="217"/>
      <c r="G11" s="225" t="s">
        <v>227</v>
      </c>
      <c r="H11" s="217"/>
      <c r="I11" s="217"/>
      <c r="J11" s="225" t="s">
        <v>227</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230</v>
      </c>
      <c r="C12" s="227"/>
      <c r="D12" s="217"/>
      <c r="E12" s="217"/>
      <c r="F12" s="217"/>
      <c r="G12" s="225" t="s">
        <v>225</v>
      </c>
      <c r="H12" s="217"/>
      <c r="I12" s="217"/>
      <c r="J12" s="225" t="s">
        <v>225</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231</v>
      </c>
      <c r="C13" s="227"/>
      <c r="D13" s="217"/>
      <c r="E13" s="217"/>
      <c r="F13" s="217"/>
      <c r="G13" s="225" t="s">
        <v>225</v>
      </c>
      <c r="H13" s="217"/>
      <c r="I13" s="217"/>
      <c r="J13" s="225" t="s">
        <v>225</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232</v>
      </c>
      <c r="C14" s="227"/>
      <c r="D14" s="217"/>
      <c r="E14" s="217"/>
      <c r="F14" s="217"/>
      <c r="G14" s="225" t="s">
        <v>225</v>
      </c>
      <c r="H14" s="217"/>
      <c r="I14" s="217"/>
      <c r="J14" s="225" t="s">
        <v>225</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233</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234</v>
      </c>
      <c r="C16" s="227"/>
      <c r="D16" s="217"/>
      <c r="E16" s="217"/>
      <c r="F16" s="217"/>
      <c r="G16" s="225" t="s">
        <v>225</v>
      </c>
      <c r="H16" s="217"/>
      <c r="I16" s="217"/>
      <c r="J16" s="225" t="s">
        <v>225</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235</v>
      </c>
      <c r="C17" s="227"/>
      <c r="D17" s="217"/>
      <c r="E17" s="217"/>
      <c r="F17" s="217"/>
      <c r="G17" s="225" t="s">
        <v>225</v>
      </c>
      <c r="H17" s="217"/>
      <c r="I17" s="217"/>
      <c r="J17" s="225" t="s">
        <v>225</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236</v>
      </c>
      <c r="C18" s="227"/>
      <c r="D18" s="217"/>
      <c r="E18" s="217"/>
      <c r="F18" s="217"/>
      <c r="G18" s="225" t="s">
        <v>225</v>
      </c>
      <c r="H18" s="217"/>
      <c r="I18" s="217"/>
      <c r="J18" s="225" t="s">
        <v>225</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237</v>
      </c>
      <c r="C19" s="231"/>
      <c r="D19" s="232"/>
      <c r="E19" s="232"/>
      <c r="F19" s="232"/>
      <c r="G19" s="233" t="s">
        <v>225</v>
      </c>
      <c r="H19" s="232"/>
      <c r="I19" s="232"/>
      <c r="J19" s="233" t="s">
        <v>225</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238</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239</v>
      </c>
      <c r="C21" s="237"/>
      <c r="D21" s="221"/>
      <c r="E21" s="221"/>
      <c r="F21" s="221"/>
      <c r="G21" s="222" t="s">
        <v>225</v>
      </c>
      <c r="H21" s="221"/>
      <c r="I21" s="221"/>
      <c r="J21" s="222" t="s">
        <v>225</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240</v>
      </c>
      <c r="C22" s="227"/>
      <c r="D22" s="217"/>
      <c r="E22" s="217"/>
      <c r="F22" s="217"/>
      <c r="G22" s="225" t="s">
        <v>225</v>
      </c>
      <c r="H22" s="217"/>
      <c r="I22" s="217"/>
      <c r="J22" s="225" t="s">
        <v>225</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241</v>
      </c>
      <c r="C23" s="227"/>
      <c r="D23" s="217"/>
      <c r="E23" s="217"/>
      <c r="F23" s="217"/>
      <c r="G23" s="225" t="s">
        <v>225</v>
      </c>
      <c r="H23" s="217"/>
      <c r="I23" s="217"/>
      <c r="J23" s="225" t="s">
        <v>225</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242</v>
      </c>
      <c r="C24" s="227"/>
      <c r="D24" s="217"/>
      <c r="E24" s="217"/>
      <c r="F24" s="217"/>
      <c r="G24" s="225" t="s">
        <v>225</v>
      </c>
      <c r="H24" s="217"/>
      <c r="I24" s="217"/>
      <c r="J24" s="225" t="s">
        <v>225</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243</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244</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245</v>
      </c>
      <c r="C27" s="224" t="s">
        <v>246</v>
      </c>
      <c r="D27" s="217"/>
      <c r="E27" s="217"/>
      <c r="F27" s="217"/>
      <c r="G27" s="225" t="s">
        <v>247</v>
      </c>
      <c r="H27" s="217"/>
      <c r="I27" s="217"/>
      <c r="J27" s="225" t="s">
        <v>248</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249</v>
      </c>
      <c r="C28" s="224" t="s">
        <v>250</v>
      </c>
      <c r="D28" s="217"/>
      <c r="E28" s="217"/>
      <c r="F28" s="217"/>
      <c r="G28" s="225" t="s">
        <v>247</v>
      </c>
      <c r="H28" s="217"/>
      <c r="I28" s="217"/>
      <c r="J28" s="225" t="s">
        <v>248</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251</v>
      </c>
      <c r="C29" s="224" t="s">
        <v>247</v>
      </c>
      <c r="D29" s="217"/>
      <c r="E29" s="217"/>
      <c r="F29" s="217"/>
      <c r="G29" s="225" t="s">
        <v>246</v>
      </c>
      <c r="H29" s="217"/>
      <c r="I29" s="217"/>
      <c r="J29" s="225" t="s">
        <v>246</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252</v>
      </c>
      <c r="C30" s="224" t="s">
        <v>248</v>
      </c>
      <c r="D30" s="217"/>
      <c r="E30" s="217"/>
      <c r="F30" s="217"/>
      <c r="G30" s="225" t="s">
        <v>250</v>
      </c>
      <c r="H30" s="217"/>
      <c r="I30" s="217"/>
      <c r="J30" s="225" t="s">
        <v>250</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253</v>
      </c>
      <c r="C31" s="224" t="s">
        <v>254</v>
      </c>
      <c r="D31" s="217"/>
      <c r="E31" s="217"/>
      <c r="F31" s="217"/>
      <c r="G31" s="225" t="s">
        <v>250</v>
      </c>
      <c r="H31" s="217"/>
      <c r="I31" s="217"/>
      <c r="J31" s="225" t="s">
        <v>250</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255</v>
      </c>
      <c r="C32" s="227"/>
      <c r="D32" s="217"/>
      <c r="E32" s="217"/>
      <c r="F32" s="217"/>
      <c r="G32" s="225" t="s">
        <v>247</v>
      </c>
      <c r="H32" s="217"/>
      <c r="I32" s="217"/>
      <c r="J32" s="225" t="s">
        <v>247</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256</v>
      </c>
      <c r="C33" s="231"/>
      <c r="D33" s="232"/>
      <c r="E33" s="232"/>
      <c r="F33" s="232"/>
      <c r="G33" s="233" t="s">
        <v>246</v>
      </c>
      <c r="H33" s="232"/>
      <c r="I33" s="232"/>
      <c r="J33" s="233" t="s">
        <v>250</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257</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258</v>
      </c>
      <c r="C35" s="237"/>
      <c r="D35" s="221"/>
      <c r="E35" s="221"/>
      <c r="F35" s="221"/>
      <c r="G35" s="222" t="s">
        <v>250</v>
      </c>
      <c r="H35" s="221"/>
      <c r="I35" s="221"/>
      <c r="J35" s="222" t="s">
        <v>247</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259</v>
      </c>
      <c r="C36" s="227"/>
      <c r="D36" s="217"/>
      <c r="E36" s="217"/>
      <c r="F36" s="217"/>
      <c r="G36" s="225" t="s">
        <v>246</v>
      </c>
      <c r="H36" s="217"/>
      <c r="I36" s="217"/>
      <c r="J36" s="225" t="s">
        <v>246</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260</v>
      </c>
      <c r="C37" s="227"/>
      <c r="D37" s="217"/>
      <c r="E37" s="217"/>
      <c r="F37" s="217"/>
      <c r="G37" s="225" t="s">
        <v>246</v>
      </c>
      <c r="H37" s="217"/>
      <c r="I37" s="217"/>
      <c r="J37" s="225" t="s">
        <v>246</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261</v>
      </c>
      <c r="C38" s="227"/>
      <c r="D38" s="217"/>
      <c r="E38" s="217"/>
      <c r="F38" s="217"/>
      <c r="G38" s="225" t="s">
        <v>250</v>
      </c>
      <c r="H38" s="217"/>
      <c r="I38" s="217"/>
      <c r="J38" s="225" t="s">
        <v>250</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262</v>
      </c>
      <c r="C39" s="227"/>
      <c r="D39" s="217"/>
      <c r="E39" s="217"/>
      <c r="F39" s="217"/>
      <c r="G39" s="225" t="s">
        <v>250</v>
      </c>
      <c r="H39" s="217"/>
      <c r="I39" s="217"/>
      <c r="J39" s="225" t="s">
        <v>250</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263</v>
      </c>
      <c r="C40" s="227"/>
      <c r="D40" s="217"/>
      <c r="E40" s="217"/>
      <c r="F40" s="217"/>
      <c r="G40" s="225" t="s">
        <v>246</v>
      </c>
      <c r="H40" s="217"/>
      <c r="I40" s="217"/>
      <c r="J40" s="225" t="s">
        <v>246</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264</v>
      </c>
      <c r="C41" s="227"/>
      <c r="D41" s="217"/>
      <c r="E41" s="217"/>
      <c r="F41" s="217"/>
      <c r="G41" s="225" t="s">
        <v>250</v>
      </c>
      <c r="H41" s="217"/>
      <c r="I41" s="217"/>
      <c r="J41" s="225" t="s">
        <v>250</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265</v>
      </c>
      <c r="C42" s="227"/>
      <c r="D42" s="217"/>
      <c r="E42" s="217"/>
      <c r="F42" s="217"/>
      <c r="G42" s="225" t="s">
        <v>250</v>
      </c>
      <c r="H42" s="217"/>
      <c r="I42" s="217"/>
      <c r="J42" s="225" t="s">
        <v>250</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266</v>
      </c>
      <c r="C43" s="227"/>
      <c r="D43" s="217"/>
      <c r="E43" s="217"/>
      <c r="F43" s="217"/>
      <c r="G43" s="225" t="s">
        <v>250</v>
      </c>
      <c r="H43" s="217"/>
      <c r="I43" s="217"/>
      <c r="J43" s="225" t="s">
        <v>250</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267</v>
      </c>
      <c r="C44" s="231"/>
      <c r="D44" s="232"/>
      <c r="E44" s="232"/>
      <c r="F44" s="232"/>
      <c r="G44" s="233" t="s">
        <v>246</v>
      </c>
      <c r="H44" s="232"/>
      <c r="I44" s="232"/>
      <c r="J44" s="233" t="s">
        <v>246</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268</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269</v>
      </c>
      <c r="C46" s="237"/>
      <c r="D46" s="221"/>
      <c r="E46" s="221"/>
      <c r="F46" s="221"/>
      <c r="G46" s="222" t="s">
        <v>246</v>
      </c>
      <c r="H46" s="221"/>
      <c r="I46" s="221"/>
      <c r="J46" s="222" t="s">
        <v>246</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270</v>
      </c>
      <c r="C47" s="227"/>
      <c r="D47" s="217"/>
      <c r="E47" s="217"/>
      <c r="F47" s="217"/>
      <c r="G47" s="225" t="s">
        <v>246</v>
      </c>
      <c r="H47" s="217"/>
      <c r="I47" s="217"/>
      <c r="J47" s="225" t="s">
        <v>246</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271</v>
      </c>
      <c r="C48" s="227"/>
      <c r="D48" s="217"/>
      <c r="E48" s="217"/>
      <c r="F48" s="217"/>
      <c r="G48" s="225" t="s">
        <v>246</v>
      </c>
      <c r="H48" s="217"/>
      <c r="I48" s="217"/>
      <c r="J48" s="225" t="s">
        <v>246</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272</v>
      </c>
      <c r="C49" s="231"/>
      <c r="D49" s="232"/>
      <c r="E49" s="232"/>
      <c r="F49" s="232"/>
      <c r="G49" s="233" t="s">
        <v>246</v>
      </c>
      <c r="H49" s="232"/>
      <c r="I49" s="232"/>
      <c r="J49" s="233" t="s">
        <v>246</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273</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274</v>
      </c>
      <c r="C51" s="237"/>
      <c r="D51" s="221"/>
      <c r="E51" s="221"/>
      <c r="F51" s="221"/>
      <c r="G51" s="222" t="s">
        <v>250</v>
      </c>
      <c r="H51" s="221"/>
      <c r="I51" s="221"/>
      <c r="J51" s="222" t="s">
        <v>250</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275</v>
      </c>
      <c r="C52" s="227"/>
      <c r="D52" s="217"/>
      <c r="E52" s="217"/>
      <c r="F52" s="217"/>
      <c r="G52" s="225" t="s">
        <v>247</v>
      </c>
      <c r="H52" s="217"/>
      <c r="I52" s="217"/>
      <c r="J52" s="225" t="s">
        <v>247</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276</v>
      </c>
      <c r="C53" s="248"/>
      <c r="D53" s="249"/>
      <c r="E53" s="249"/>
      <c r="F53" s="249"/>
      <c r="G53" s="250" t="s">
        <v>246</v>
      </c>
      <c r="H53" s="249"/>
      <c r="I53" s="249"/>
      <c r="J53" s="250" t="s">
        <v>246</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277</v>
      </c>
      <c r="C54" s="254" t="s">
        <v>278</v>
      </c>
      <c r="D54" s="221"/>
      <c r="E54" s="221"/>
      <c r="F54" s="221"/>
      <c r="G54" s="255"/>
      <c r="H54" s="221"/>
      <c r="I54" s="221"/>
      <c r="J54" s="254" t="s">
        <v>279</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280</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5566066.667</v>
      </c>
      <c r="D1" s="271">
        <f>AZ20</f>
        <v>519170.6667</v>
      </c>
      <c r="E1" s="271">
        <f>BG23</f>
        <v>3299988.167</v>
      </c>
      <c r="F1" s="271">
        <f>BB23+BG40</f>
        <v>0</v>
      </c>
      <c r="G1" s="271">
        <f t="shared" ref="G1:H1" si="1">I8</f>
        <v>85254.95</v>
      </c>
      <c r="H1" s="271">
        <f t="shared" si="1"/>
        <v>19312</v>
      </c>
      <c r="I1" s="272">
        <f>G8</f>
        <v>0.7954545455</v>
      </c>
      <c r="J1" s="272">
        <f>AT7</f>
        <v>0.0002913752914</v>
      </c>
      <c r="K1" s="273">
        <f>AV44</f>
        <v>1</v>
      </c>
      <c r="L1" s="274">
        <f>G44</f>
        <v>2730</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46113.0</v>
      </c>
      <c r="E5" s="69"/>
      <c r="F5" s="288" t="s">
        <v>285</v>
      </c>
      <c r="G5" s="289">
        <f>DAY(EOMONTH(D5,0))</f>
        <v>30</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0.2749527402</v>
      </c>
      <c r="D7" s="69"/>
      <c r="E7" s="313">
        <f>AU12</f>
        <v>0.6117001861</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4087404.75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0.0002913752914</v>
      </c>
      <c r="AU7" s="69"/>
      <c r="AV7" s="320">
        <f>IFERROR(__xludf.DUMMYFUNCTION("IMPORTRANGE(AT9,""日別集計!AI4"")"),61.0)</f>
        <v>61</v>
      </c>
      <c r="AW7" s="321">
        <f>(M8+(100*G5-OFFSET(H12,G5,0))*H45)/(BB30+(100*G5-OFFSET(H12,G5,0))*H45)</f>
        <v>0.3510022412</v>
      </c>
      <c r="AX7" s="306"/>
      <c r="AY7" s="322" t="s">
        <v>303</v>
      </c>
      <c r="BG7" s="323"/>
      <c r="BL7" s="310"/>
    </row>
    <row r="8" ht="15.75" customHeight="1" outlineLevel="1">
      <c r="B8" s="324" t="s">
        <v>304</v>
      </c>
      <c r="C8" s="325">
        <f>M8/H8</f>
        <v>0.2985326951</v>
      </c>
      <c r="D8" s="69"/>
      <c r="E8" s="326">
        <f>(BB23+BG23-BE24)/H8</f>
        <v>0.5928761483</v>
      </c>
      <c r="F8" s="69"/>
      <c r="G8" s="327">
        <f>G47</f>
        <v>0.7954545455</v>
      </c>
      <c r="H8" s="328">
        <f>BB30</f>
        <v>5566066.667</v>
      </c>
      <c r="I8" s="329">
        <f>IFERROR(__xludf.DUMMYFUNCTION("IMPORTRANGE(""https://docs.google.com/spreadsheets/d/1QbHfX9wvC_RRupa4CCe_ZxA6O4e2Ap9vqX5hrZPeQRg/edit"",""date2_1!R11"")/G5*COUNTIFS($E$13:$E$43,""&gt;0"")"),85254.95)</f>
        <v>85254.95</v>
      </c>
      <c r="J8" s="330">
        <f>IFERROR(__xludf.DUMMYFUNCTION("IMPORTRANGE(""https://docs.google.com/spreadsheets/d/1PIAlDmsTatDNi42y_Nu-aVFqvVCXfe6jiDJFQImKjZ0/edit#gid=630612029"",""R8_4!J9"")"),19312.0)</f>
        <v>19312</v>
      </c>
      <c r="K8" s="331">
        <f>BE24</f>
        <v>0</v>
      </c>
      <c r="L8" s="331">
        <f>BB30-BB23-AZ20-BG45-BG23+BE24</f>
        <v>1746907.833</v>
      </c>
      <c r="M8" s="332">
        <f>L8-I8</f>
        <v>1661652.883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5450809.742</v>
      </c>
      <c r="I9" s="343" t="s">
        <v>111</v>
      </c>
      <c r="J9" s="344" t="s">
        <v>111</v>
      </c>
      <c r="K9" s="345" t="s">
        <v>111</v>
      </c>
      <c r="L9" s="345" t="s">
        <v>111</v>
      </c>
      <c r="M9" s="346">
        <f>M7/G5*COUNTIFS($E$11:$E$41,"&gt;0")</f>
        <v>1498715.075</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306</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46113</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0.6117001861</v>
      </c>
      <c r="AV12" s="365"/>
      <c r="AW12" s="365"/>
      <c r="AX12" s="281"/>
      <c r="AY12" s="368" t="s">
        <v>355</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0.6499703936</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0.56896218</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IFERROR(__xludf.DUMMYFUNCTION("""COMPUTED_VALUE"""),290666.6666666666)</f>
        <v>290666.6667</v>
      </c>
      <c r="AU15" s="381">
        <f t="shared" si="7"/>
        <v>0.6029326317</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IFERROR(__xludf.DUMMYFUNCTION("""COMPUTED_VALUE"""),282850.0)</f>
        <v>282850</v>
      </c>
      <c r="AU16" s="381">
        <f t="shared" si="7"/>
        <v>0.6105239229</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0.5664045736</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0.5812902172</v>
      </c>
      <c r="AV18" s="371">
        <f>countifs('🔵クレーム'!$C:$C,MONTH($D$5)&amp;"月",'🔵クレーム'!$D:$D,day(C18)&amp;"日",'🔵クレーム'!$I:$I,"&lt;&gt;")</f>
        <v>0</v>
      </c>
      <c r="AW18" s="382"/>
      <c r="AX18" s="281"/>
      <c r="AY18" s="392" t="s">
        <v>173</v>
      </c>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3">
        <v>9.0</v>
      </c>
      <c r="L19" s="397">
        <v>0.0</v>
      </c>
      <c r="M19" s="373">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442540</v>
      </c>
      <c r="AT19" s="380">
        <f>IFERROR(__xludf.DUMMYFUNCTION("""COMPUTED_VALUE"""),260312.5)</f>
        <v>260312.5</v>
      </c>
      <c r="AU19" s="381">
        <f t="shared" si="7"/>
        <v>0.6095759513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c r="S20" s="389">
        <v>0.0</v>
      </c>
      <c r="T20" s="389">
        <v>10.0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441810</v>
      </c>
      <c r="AT20" s="380">
        <f>IFERROR(__xludf.DUMMYFUNCTION("""COMPUTED_VALUE"""),249337.5)</f>
        <v>249337.5</v>
      </c>
      <c r="AU20" s="381">
        <f t="shared" si="7"/>
        <v>0.5872969752</v>
      </c>
      <c r="AV20" s="371">
        <f>countifs('🔵クレーム'!$C:$C,MONTH($D$5)&amp;"月",'🔵クレーム'!$D:$D,day(C20)&amp;"日",'🔵クレーム'!$I:$I,"&lt;&gt;")</f>
        <v>1</v>
      </c>
      <c r="AW20" s="382"/>
      <c r="AX20" s="281"/>
      <c r="AY20" s="402" t="s">
        <v>362</v>
      </c>
      <c r="AZ20" s="403">
        <f>IFERROR(__xludf.DUMMYFUNCTION("IMPORTRANGE(""https://docs.google.com/spreadsheets/d/1QbHfX9wvC_RRupa4CCe_ZxA6O4e2Ap9vqX5hrZPeQRg/edit?gid=284905409#gid=284905409"",""date2_1!D11"")/G5*COUNTIFS($E$13:$E$43,""&gt;0"")+sum(AZ14:BA19)"),519170.6666666667)</f>
        <v>519170.6667</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f t="shared" si="3"/>
        <v>312</v>
      </c>
      <c r="F21" s="372">
        <f t="shared" si="4"/>
        <v>0.8076923077</v>
      </c>
      <c r="G21" s="373">
        <v>252.0</v>
      </c>
      <c r="H21" s="375">
        <v>0.0</v>
      </c>
      <c r="I21" s="375">
        <v>41.0</v>
      </c>
      <c r="J21" s="375">
        <v>35.0</v>
      </c>
      <c r="K21" s="375">
        <v>17.0</v>
      </c>
      <c r="L21" s="375">
        <v>1.0</v>
      </c>
      <c r="M21" s="375">
        <v>1.0</v>
      </c>
      <c r="N21" s="375">
        <v>0.0</v>
      </c>
      <c r="O21" s="375">
        <v>0.0</v>
      </c>
      <c r="P21" s="375">
        <v>0.0</v>
      </c>
      <c r="Q21" s="375">
        <v>0.0</v>
      </c>
      <c r="R21" s="375">
        <v>0.0</v>
      </c>
      <c r="S21" s="375">
        <v>0.0</v>
      </c>
      <c r="T21" s="375">
        <v>5.0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480560</v>
      </c>
      <c r="AT21" s="380">
        <f>IFERROR(__xludf.DUMMYFUNCTION("""COMPUTED_VALUE"""),268462.5)</f>
        <v>268462.5</v>
      </c>
      <c r="AU21" s="381">
        <f t="shared" si="7"/>
        <v>0.580193328</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46122</v>
      </c>
      <c r="D22" s="371" t="str">
        <f t="shared" si="2"/>
        <v>金</v>
      </c>
      <c r="E22" s="371">
        <f t="shared" si="3"/>
        <v>312</v>
      </c>
      <c r="F22" s="372">
        <f t="shared" si="4"/>
        <v>0.8205128205</v>
      </c>
      <c r="G22" s="373">
        <v>256.0</v>
      </c>
      <c r="H22" s="389">
        <v>0.0</v>
      </c>
      <c r="I22" s="389">
        <v>42.0</v>
      </c>
      <c r="J22" s="389">
        <v>40.0</v>
      </c>
      <c r="K22" s="389">
        <v>16.0</v>
      </c>
      <c r="L22" s="389">
        <v>1.0</v>
      </c>
      <c r="M22" s="389">
        <v>0.0</v>
      </c>
      <c r="N22" s="389">
        <v>0.0</v>
      </c>
      <c r="O22" s="389">
        <v>0.0</v>
      </c>
      <c r="P22" s="389">
        <v>0.0</v>
      </c>
      <c r="Q22" s="389">
        <v>0.0</v>
      </c>
      <c r="R22" s="389">
        <v>0.0</v>
      </c>
      <c r="S22" s="389">
        <v>0.0</v>
      </c>
      <c r="T22" s="389">
        <v>5.0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488680</v>
      </c>
      <c r="AT22" s="380">
        <f>IFERROR(__xludf.DUMMYFUNCTION("""COMPUTED_VALUE"""),248600.0)</f>
        <v>248600</v>
      </c>
      <c r="AU22" s="381">
        <f t="shared" si="7"/>
        <v>0.5328920015</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f t="shared" si="3"/>
        <v>312</v>
      </c>
      <c r="F23" s="372">
        <f t="shared" si="4"/>
        <v>0.8173076923</v>
      </c>
      <c r="G23" s="373">
        <v>255.0</v>
      </c>
      <c r="H23" s="375">
        <v>0.0</v>
      </c>
      <c r="I23" s="375">
        <v>38.0</v>
      </c>
      <c r="J23" s="375">
        <v>31.0</v>
      </c>
      <c r="K23" s="375">
        <v>23.0</v>
      </c>
      <c r="L23" s="375">
        <v>1.0</v>
      </c>
      <c r="M23" s="375">
        <v>2.0</v>
      </c>
      <c r="N23" s="375">
        <v>0.0</v>
      </c>
      <c r="O23" s="375">
        <v>0.0</v>
      </c>
      <c r="P23" s="375">
        <v>0.0</v>
      </c>
      <c r="Q23" s="375">
        <v>0.0</v>
      </c>
      <c r="R23" s="375">
        <v>0.0</v>
      </c>
      <c r="S23" s="375">
        <v>0.0</v>
      </c>
      <c r="T23" s="375">
        <v>5.0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486300</v>
      </c>
      <c r="AT23" s="380">
        <f>IFERROR(__xludf.DUMMYFUNCTION("""COMPUTED_VALUE"""),275550.0)</f>
        <v>275550</v>
      </c>
      <c r="AU23" s="381">
        <f t="shared" si="7"/>
        <v>0.5874587469</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IFERROR(__xludf.DUMMYFUNCTION("IMPORTRANGE(AT9,""total!ai2"")"),2961054.166666667)</f>
        <v>2961054.167</v>
      </c>
      <c r="BF23" s="414">
        <f>IFERROR(__xludf.DUMMYFUNCTION("IMPORTRANGE(AT9,""total!an2"")"),338934.0)</f>
        <v>338934</v>
      </c>
      <c r="BG23" s="412">
        <f>sum(BE23:BF27)+BE20</f>
        <v>3299988.167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IFERROR(__xludf.DUMMYFUNCTION("IMPORTRANGE(AT9,""total!as2"")"),0.0)</f>
        <v>0</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6"/>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5" t="s">
        <v>376</v>
      </c>
      <c r="AZ30" s="414">
        <f>AS46</f>
        <v>5226900</v>
      </c>
      <c r="BA30" s="426" t="s">
        <v>111</v>
      </c>
      <c r="BB30" s="412">
        <f>SUM(AZ30:AZ36)</f>
        <v>5566066.667</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30" t="s">
        <v>380</v>
      </c>
      <c r="AZ31" s="414">
        <f t="shared" ref="AZ31:AZ34" si="9">BA31/$G$5*COUNTIFS($E$13:$E$43,"&gt;0")</f>
        <v>34320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30" t="s">
        <v>382</v>
      </c>
      <c r="AZ32" s="414">
        <f t="shared" si="9"/>
        <v>26752</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30" t="s">
        <v>384</v>
      </c>
      <c r="AZ33" s="414">
        <f t="shared" si="9"/>
        <v>151594.6667</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30" t="s">
        <v>386</v>
      </c>
      <c r="AZ34" s="414">
        <f t="shared" si="9"/>
        <v>126500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397"/>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46136</v>
      </c>
      <c r="D36" s="371" t="str">
        <f t="shared" si="2"/>
        <v>金</v>
      </c>
      <c r="E36" s="371" t="str">
        <f t="shared" si="3"/>
        <v/>
      </c>
      <c r="F36" s="372" t="str">
        <f t="shared" si="4"/>
        <v/>
      </c>
      <c r="G36" s="397"/>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397"/>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46138</v>
      </c>
      <c r="D38" s="371" t="str">
        <f t="shared" si="2"/>
        <v>日</v>
      </c>
      <c r="E38" s="371" t="str">
        <f t="shared" si="3"/>
        <v/>
      </c>
      <c r="F38" s="372" t="str">
        <f t="shared" si="4"/>
        <v/>
      </c>
      <c r="G38" s="397"/>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397"/>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46140</v>
      </c>
      <c r="D40" s="371" t="str">
        <f t="shared" si="2"/>
        <v>火</v>
      </c>
      <c r="E40" s="371" t="str">
        <f t="shared" si="3"/>
        <v/>
      </c>
      <c r="F40" s="372" t="str">
        <f t="shared" si="4"/>
        <v/>
      </c>
      <c r="G40" s="397"/>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397"/>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397"/>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3432</v>
      </c>
      <c r="F44" s="450">
        <f t="shared" ref="F44:AB44" si="11">SUM(F13:F43)</f>
        <v>8.75</v>
      </c>
      <c r="G44" s="449">
        <f t="shared" si="11"/>
        <v>2730</v>
      </c>
      <c r="H44" s="449">
        <f t="shared" si="11"/>
        <v>2</v>
      </c>
      <c r="I44" s="449">
        <f t="shared" si="11"/>
        <v>447</v>
      </c>
      <c r="J44" s="449">
        <f t="shared" si="11"/>
        <v>541</v>
      </c>
      <c r="K44" s="449">
        <f t="shared" si="11"/>
        <v>157</v>
      </c>
      <c r="L44" s="449">
        <f t="shared" si="11"/>
        <v>8</v>
      </c>
      <c r="M44" s="449">
        <f t="shared" si="11"/>
        <v>10</v>
      </c>
      <c r="N44" s="449">
        <f t="shared" si="11"/>
        <v>0</v>
      </c>
      <c r="O44" s="449">
        <f t="shared" si="11"/>
        <v>0</v>
      </c>
      <c r="P44" s="449">
        <f t="shared" si="11"/>
        <v>0</v>
      </c>
      <c r="Q44" s="449">
        <f t="shared" si="11"/>
        <v>1</v>
      </c>
      <c r="R44" s="449">
        <f t="shared" si="11"/>
        <v>0</v>
      </c>
      <c r="S44" s="449">
        <f t="shared" si="11"/>
        <v>0</v>
      </c>
      <c r="T44" s="449">
        <f t="shared" si="11"/>
        <v>40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5226900</v>
      </c>
      <c r="AT44" s="453">
        <f t="shared" si="12"/>
        <v>2961054.167</v>
      </c>
      <c r="AU44" s="450">
        <f>AVERAGE(AU13:AU43)</f>
        <v>0.5888637202</v>
      </c>
      <c r="AV44" s="449">
        <f t="shared" ref="AV44:AW44" si="13">sum(AV13:AV43)</f>
        <v>1</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4859400</v>
      </c>
      <c r="H46" s="470">
        <f t="shared" si="14"/>
        <v>300</v>
      </c>
      <c r="I46" s="470">
        <f t="shared" si="14"/>
        <v>89400</v>
      </c>
      <c r="J46" s="470">
        <f t="shared" si="14"/>
        <v>162300</v>
      </c>
      <c r="K46" s="470">
        <f t="shared" si="14"/>
        <v>47100</v>
      </c>
      <c r="L46" s="470">
        <f t="shared" si="14"/>
        <v>2400</v>
      </c>
      <c r="M46" s="470">
        <f t="shared" si="14"/>
        <v>4000</v>
      </c>
      <c r="N46" s="470">
        <f t="shared" si="14"/>
        <v>0</v>
      </c>
      <c r="O46" s="470">
        <f t="shared" si="14"/>
        <v>0</v>
      </c>
      <c r="P46" s="470">
        <f t="shared" si="14"/>
        <v>0</v>
      </c>
      <c r="Q46" s="470">
        <f t="shared" si="14"/>
        <v>2000</v>
      </c>
      <c r="R46" s="470">
        <f t="shared" si="14"/>
        <v>0</v>
      </c>
      <c r="S46" s="470">
        <f t="shared" si="14"/>
        <v>0</v>
      </c>
      <c r="T46" s="470">
        <f t="shared" si="14"/>
        <v>60000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5226900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0.7954545455</v>
      </c>
      <c r="H47" s="477">
        <f t="shared" si="15"/>
        <v>0.0005827505828</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396</v>
      </c>
      <c r="M2" s="496"/>
      <c r="N2" s="497" t="s">
        <v>397</v>
      </c>
      <c r="O2" s="498"/>
      <c r="P2" s="499"/>
      <c r="Q2" s="500"/>
      <c r="R2" s="500"/>
      <c r="S2" s="501"/>
      <c r="T2" s="500"/>
      <c r="U2" s="500"/>
      <c r="V2" s="500"/>
      <c r="W2" s="500"/>
      <c r="X2" s="500"/>
      <c r="Y2" s="502"/>
      <c r="Z2" s="266"/>
      <c r="AA2" s="266"/>
      <c r="AB2" s="266"/>
      <c r="AC2" s="266"/>
      <c r="AD2" s="266"/>
      <c r="AE2" s="266"/>
      <c r="AF2" s="503"/>
      <c r="AG2" s="504"/>
      <c r="AH2" s="505"/>
      <c r="AI2" s="506" t="s">
        <v>398</v>
      </c>
      <c r="AJ2" s="266"/>
      <c r="AR2" s="266"/>
      <c r="AS2" s="507" t="s">
        <v>399</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401</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362</v>
      </c>
      <c r="BH3" s="185"/>
      <c r="BI3" s="526" t="s">
        <v>402</v>
      </c>
      <c r="BJ3" s="2"/>
      <c r="BK3" s="527">
        <v>46113.0</v>
      </c>
      <c r="BS3" s="185"/>
      <c r="BT3" s="185"/>
      <c r="BU3" s="185"/>
      <c r="BV3" s="185"/>
      <c r="BW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185"/>
      <c r="AS4" s="546" t="s">
        <v>419</v>
      </c>
      <c r="AT4" s="547" t="s">
        <v>246</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420</v>
      </c>
      <c r="BJ4" s="235"/>
      <c r="BK4" s="527">
        <v>46143.0</v>
      </c>
      <c r="BS4" s="490"/>
      <c r="BT4" s="490"/>
      <c r="BU4" s="490"/>
      <c r="BV4" s="490"/>
      <c r="BW4" s="490"/>
    </row>
    <row r="5" ht="19.5" customHeight="1">
      <c r="A5" s="493"/>
      <c r="B5" s="552" t="s">
        <v>421</v>
      </c>
      <c r="C5" s="553"/>
      <c r="D5" s="493"/>
      <c r="E5" s="554" t="s">
        <v>422</v>
      </c>
      <c r="F5" s="553"/>
      <c r="G5" s="493"/>
      <c r="H5" s="493"/>
      <c r="I5" s="555" t="b">
        <v>1</v>
      </c>
      <c r="J5" s="2"/>
      <c r="K5" s="556" t="s">
        <v>100</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185"/>
      <c r="AS5" s="546" t="s">
        <v>436</v>
      </c>
      <c r="AT5" s="547" t="s">
        <v>250</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46124</v>
      </c>
      <c r="C7" s="576"/>
      <c r="D7" s="493"/>
      <c r="E7" s="577">
        <f>today()+1</f>
        <v>46125</v>
      </c>
      <c r="F7" s="578"/>
      <c r="G7" s="493"/>
      <c r="H7" s="493"/>
      <c r="I7" s="579" t="s">
        <v>437</v>
      </c>
      <c r="J7" s="580" t="s">
        <v>438</v>
      </c>
      <c r="K7" s="581">
        <v>46113.0</v>
      </c>
      <c r="L7" s="582" t="s">
        <v>439</v>
      </c>
      <c r="M7" s="583" t="s">
        <v>440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441</v>
      </c>
      <c r="AS7" s="586" t="s">
        <v>442</v>
      </c>
      <c r="AT7" s="587" t="s">
        <v>81</v>
      </c>
      <c r="AU7" s="587" t="s">
        <v>443</v>
      </c>
      <c r="AV7" s="587" t="s">
        <v>444</v>
      </c>
      <c r="AW7" s="587" t="s">
        <v>445</v>
      </c>
      <c r="AX7" s="587" t="s">
        <v>446</v>
      </c>
      <c r="AY7" s="587" t="s">
        <v>447</v>
      </c>
      <c r="AZ7" s="587" t="s">
        <v>82</v>
      </c>
      <c r="BA7" s="588" t="s">
        <v>359</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310</v>
      </c>
      <c r="C8" s="590" t="str">
        <f>TEXT(B7,"ddd")</f>
        <v>日</v>
      </c>
      <c r="D8" s="112"/>
      <c r="E8" s="591" t="s">
        <v>310</v>
      </c>
      <c r="F8" s="592" t="str">
        <f>TEXT(E7,"ddd")</f>
        <v>月</v>
      </c>
      <c r="G8" s="185"/>
      <c r="H8" s="185"/>
      <c r="I8" s="579"/>
      <c r="J8" s="593" t="s">
        <v>312</v>
      </c>
      <c r="K8" s="582" t="s">
        <v>448</v>
      </c>
      <c r="L8" s="594" t="s">
        <v>449</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36</v>
      </c>
      <c r="D9" s="185"/>
      <c r="E9" s="598" t="str">
        <f t="shared" ref="E9:E28" si="6">K9</f>
        <v>出勤者数合計</v>
      </c>
      <c r="F9" s="599">
        <f t="shared" ref="F9:F28" si="7">if(E9="","", xlookup($E$7,$N$7:$AQ$7,$N9:$AQ9))</f>
        <v>36</v>
      </c>
      <c r="G9" s="185"/>
      <c r="H9" s="185"/>
      <c r="I9" s="165" t="b">
        <v>0</v>
      </c>
      <c r="J9" s="593"/>
      <c r="K9" s="600" t="s">
        <v>450</v>
      </c>
      <c r="L9" s="601" t="s">
        <v>451</v>
      </c>
      <c r="M9" s="602" t="s">
        <v>452</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36</v>
      </c>
      <c r="Y9" s="603">
        <f t="array" ref="Y9">SUM(COUNTIF(Y11:Y93, {"◎","〇","☆","共","特","浴"}))</f>
        <v>36</v>
      </c>
      <c r="Z9" s="603">
        <f t="array" ref="Z9">SUM(COUNTIF(Z11:Z93, {"◎","〇","☆","共","特","浴"}))</f>
        <v>36</v>
      </c>
      <c r="AA9" s="603">
        <f t="array" ref="AA9">SUM(COUNTIF(AA11:AA93, {"◎","〇","☆","共","特","浴"}))</f>
        <v>34</v>
      </c>
      <c r="AB9" s="603">
        <f t="array" ref="AB9">SUM(COUNTIF(AB11:AB93, {"◎","〇","☆","共","特","浴"}))</f>
        <v>28</v>
      </c>
      <c r="AC9" s="603">
        <f t="array" ref="AC9">SUM(COUNTIF(AC11:AC93, {"◎","〇","☆","共","特","浴"}))</f>
        <v>33</v>
      </c>
      <c r="AD9" s="603">
        <f t="array" ref="AD9">SUM(COUNTIF(AD11:AD93, {"◎","〇","☆","共","特","浴"}))</f>
        <v>35</v>
      </c>
      <c r="AE9" s="603">
        <f t="array" ref="AE9">SUM(COUNTIF(AE11:AE93, {"◎","〇","☆","共","特","浴"}))</f>
        <v>35</v>
      </c>
      <c r="AF9" s="603">
        <f t="array" ref="AF9">SUM(COUNTIF(AF11:AF93, {"◎","〇","☆","共","特","浴"}))</f>
        <v>33</v>
      </c>
      <c r="AG9" s="603">
        <f t="array" ref="AG9">SUM(COUNTIF(AG11:AG93, {"◎","〇","☆","共","特","浴"}))</f>
        <v>35</v>
      </c>
      <c r="AH9" s="603">
        <f t="array" ref="AH9">SUM(COUNTIF(AH11:AH93, {"◎","〇","☆","共","特","浴"}))</f>
        <v>32</v>
      </c>
      <c r="AI9" s="603">
        <f t="array" ref="AI9">SUM(COUNTIF(AI11:AI93, {"◎","〇","☆","共","特","浴"}))</f>
        <v>28</v>
      </c>
      <c r="AJ9" s="603">
        <f t="array" ref="AJ9">SUM(COUNTIF(AJ11:AJ93, {"◎","〇","☆","共","特","浴"}))</f>
        <v>35</v>
      </c>
      <c r="AK9" s="603">
        <f t="array" ref="AK9">SUM(COUNTIF(AK11:AK93, {"◎","〇","☆","共","特","浴"}))</f>
        <v>34</v>
      </c>
      <c r="AL9" s="603">
        <f t="array" ref="AL9">SUM(COUNTIF(AL11:AL93, {"◎","〇","☆","共","特","浴"}))</f>
        <v>33</v>
      </c>
      <c r="AM9" s="603">
        <f t="array" ref="AM9">SUM(COUNTIF(AM11:AM93, {"◎","〇","☆","共","特","浴"}))</f>
        <v>36</v>
      </c>
      <c r="AN9" s="603">
        <f t="array" ref="AN9">SUM(COUNTIF(AN11:AN93, {"◎","〇","☆","共","特","浴"}))</f>
        <v>34</v>
      </c>
      <c r="AO9" s="603">
        <f t="array" ref="AO9">SUM(COUNTIF(AO11:AO93, {"◎","〇","☆","共","特","浴"}))</f>
        <v>32</v>
      </c>
      <c r="AP9" s="603">
        <f t="array" ref="AP9">SUM(COUNTIF(AP11:AP93, {"◎","〇","☆","共","特","浴"}))</f>
        <v>27</v>
      </c>
      <c r="AQ9" s="603">
        <f t="array" ref="AQ9">SUM(COUNTIF(AQ11:AQ93, {"◎","〇","☆","共","特","浴"}))</f>
        <v>34</v>
      </c>
      <c r="AR9" s="596" t="s">
        <v>451</v>
      </c>
      <c r="AS9" s="604" t="s">
        <v>451</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9</v>
      </c>
      <c r="G10" s="185"/>
      <c r="H10" s="185"/>
      <c r="I10" s="165" t="b">
        <v>0</v>
      </c>
      <c r="J10" s="593"/>
      <c r="K10" s="600" t="s">
        <v>453</v>
      </c>
      <c r="L10" s="601" t="s">
        <v>451</v>
      </c>
      <c r="M10" s="602" t="s">
        <v>454</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451</v>
      </c>
      <c r="AS10" s="604" t="s">
        <v>451</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
      </c>
      <c r="D11" s="185"/>
      <c r="E11" s="598" t="str">
        <f t="shared" si="6"/>
        <v>梅津</v>
      </c>
      <c r="F11" s="599" t="str">
        <f t="shared" si="7"/>
        <v>☆</v>
      </c>
      <c r="G11" s="185"/>
      <c r="H11" s="185"/>
      <c r="I11" s="165" t="b">
        <v>0</v>
      </c>
      <c r="J11" s="580"/>
      <c r="K11" s="600" t="s">
        <v>100</v>
      </c>
      <c r="L11" s="601" t="s">
        <v>455</v>
      </c>
      <c r="M11" s="602" t="s">
        <v>456</v>
      </c>
      <c r="N11" s="607" t="s">
        <v>410</v>
      </c>
      <c r="O11" s="607" t="s">
        <v>410</v>
      </c>
      <c r="P11" s="607"/>
      <c r="Q11" s="607" t="s">
        <v>410</v>
      </c>
      <c r="R11" s="607" t="s">
        <v>410</v>
      </c>
      <c r="S11" s="607" t="s">
        <v>410</v>
      </c>
      <c r="T11" s="607" t="s">
        <v>225</v>
      </c>
      <c r="U11" s="607" t="s">
        <v>410</v>
      </c>
      <c r="V11" s="607"/>
      <c r="W11" s="607" t="s">
        <v>410</v>
      </c>
      <c r="X11" s="607" t="s">
        <v>410</v>
      </c>
      <c r="Y11" s="607"/>
      <c r="Z11" s="607" t="s">
        <v>410</v>
      </c>
      <c r="AA11" s="607" t="s">
        <v>225</v>
      </c>
      <c r="AB11" s="607" t="s">
        <v>410</v>
      </c>
      <c r="AC11" s="607"/>
      <c r="AD11" s="607" t="s">
        <v>410</v>
      </c>
      <c r="AE11" s="607" t="s">
        <v>225</v>
      </c>
      <c r="AF11" s="607" t="s">
        <v>410</v>
      </c>
      <c r="AG11" s="607"/>
      <c r="AH11" s="607" t="s">
        <v>410</v>
      </c>
      <c r="AI11" s="607" t="s">
        <v>410</v>
      </c>
      <c r="AJ11" s="607" t="s">
        <v>225</v>
      </c>
      <c r="AK11" s="607" t="s">
        <v>432</v>
      </c>
      <c r="AL11" s="607" t="s">
        <v>432</v>
      </c>
      <c r="AM11" s="607" t="s">
        <v>410</v>
      </c>
      <c r="AN11" s="607" t="s">
        <v>410</v>
      </c>
      <c r="AO11" s="607" t="s">
        <v>410</v>
      </c>
      <c r="AP11" s="607" t="s">
        <v>426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v>
      </c>
      <c r="D12" s="185"/>
      <c r="E12" s="598" t="str">
        <f t="shared" si="6"/>
        <v>ライ</v>
      </c>
      <c r="F12" s="599" t="str">
        <f t="shared" si="7"/>
        <v>☆</v>
      </c>
      <c r="G12" s="185"/>
      <c r="H12" s="185"/>
      <c r="I12" s="165" t="b">
        <v>0</v>
      </c>
      <c r="J12" s="580"/>
      <c r="K12" s="600" t="s">
        <v>167</v>
      </c>
      <c r="L12" s="601" t="s">
        <v>457</v>
      </c>
      <c r="M12" s="602" t="s">
        <v>458</v>
      </c>
      <c r="N12" s="607"/>
      <c r="O12" s="607" t="s">
        <v>410</v>
      </c>
      <c r="P12" s="607" t="s">
        <v>410</v>
      </c>
      <c r="Q12" s="607"/>
      <c r="R12" s="607" t="s">
        <v>410</v>
      </c>
      <c r="S12" s="607" t="s">
        <v>426</v>
      </c>
      <c r="T12" s="607" t="s">
        <v>459</v>
      </c>
      <c r="U12" s="607"/>
      <c r="V12" s="607" t="s">
        <v>410</v>
      </c>
      <c r="W12" s="607" t="s">
        <v>410</v>
      </c>
      <c r="X12" s="607"/>
      <c r="Y12" s="607" t="s">
        <v>410</v>
      </c>
      <c r="Z12" s="607" t="s">
        <v>410</v>
      </c>
      <c r="AA12" s="607" t="s">
        <v>225</v>
      </c>
      <c r="AB12" s="607"/>
      <c r="AC12" s="607" t="s">
        <v>410</v>
      </c>
      <c r="AD12" s="607" t="s">
        <v>410</v>
      </c>
      <c r="AE12" s="607"/>
      <c r="AF12" s="607" t="s">
        <v>410</v>
      </c>
      <c r="AG12" s="607" t="s">
        <v>410</v>
      </c>
      <c r="AH12" s="607" t="s">
        <v>410</v>
      </c>
      <c r="AI12" s="607"/>
      <c r="AJ12" s="607" t="s">
        <v>410</v>
      </c>
      <c r="AK12" s="607" t="s">
        <v>410</v>
      </c>
      <c r="AL12" s="607"/>
      <c r="AM12" s="607" t="s">
        <v>410</v>
      </c>
      <c r="AN12" s="607" t="s">
        <v>410</v>
      </c>
      <c r="AO12" s="607" t="s">
        <v>410</v>
      </c>
      <c r="AP12" s="607"/>
      <c r="AQ12" s="607" t="s">
        <v>225</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
      </c>
      <c r="D13" s="185"/>
      <c r="E13" s="598" t="str">
        <f t="shared" si="6"/>
        <v>サビタ</v>
      </c>
      <c r="F13" s="599" t="str">
        <f t="shared" si="7"/>
        <v>☆</v>
      </c>
      <c r="G13" s="185"/>
      <c r="H13" s="185"/>
      <c r="I13" s="165" t="b">
        <v>0</v>
      </c>
      <c r="J13" s="580"/>
      <c r="K13" s="600" t="s">
        <v>178</v>
      </c>
      <c r="L13" s="601" t="s">
        <v>457</v>
      </c>
      <c r="M13" s="602" t="s">
        <v>460</v>
      </c>
      <c r="N13" s="607" t="s">
        <v>410</v>
      </c>
      <c r="O13" s="607" t="s">
        <v>426</v>
      </c>
      <c r="P13" s="607" t="s">
        <v>413</v>
      </c>
      <c r="Q13" s="607" t="s">
        <v>413</v>
      </c>
      <c r="R13" s="607"/>
      <c r="S13" s="607" t="s">
        <v>410</v>
      </c>
      <c r="T13" s="607" t="s">
        <v>410</v>
      </c>
      <c r="U13" s="607" t="s">
        <v>410</v>
      </c>
      <c r="V13" s="607" t="s">
        <v>410</v>
      </c>
      <c r="W13" s="607" t="s">
        <v>410</v>
      </c>
      <c r="X13" s="607" t="s">
        <v>413</v>
      </c>
      <c r="Y13" s="607"/>
      <c r="Z13" s="607" t="s">
        <v>410</v>
      </c>
      <c r="AA13" s="607"/>
      <c r="AB13" s="607" t="s">
        <v>410</v>
      </c>
      <c r="AC13" s="607" t="s">
        <v>225</v>
      </c>
      <c r="AD13" s="607" t="s">
        <v>410</v>
      </c>
      <c r="AE13" s="607" t="s">
        <v>225</v>
      </c>
      <c r="AF13" s="607"/>
      <c r="AG13" s="607" t="s">
        <v>410</v>
      </c>
      <c r="AH13" s="607"/>
      <c r="AI13" s="607" t="s">
        <v>410</v>
      </c>
      <c r="AJ13" s="607" t="s">
        <v>413</v>
      </c>
      <c r="AK13" s="607" t="s">
        <v>410</v>
      </c>
      <c r="AL13" s="607" t="s">
        <v>410</v>
      </c>
      <c r="AM13" s="607"/>
      <c r="AN13" s="607"/>
      <c r="AO13" s="607"/>
      <c r="AP13" s="607" t="s">
        <v>410</v>
      </c>
      <c r="AQ13" s="607" t="s">
        <v>225</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〇</v>
      </c>
      <c r="D14" s="185"/>
      <c r="E14" s="598" t="str">
        <f t="shared" si="6"/>
        <v>富田</v>
      </c>
      <c r="F14" s="599" t="str">
        <f t="shared" si="7"/>
        <v/>
      </c>
      <c r="G14" s="185"/>
      <c r="H14" s="185"/>
      <c r="I14" s="165" t="b">
        <v>0</v>
      </c>
      <c r="J14" s="580"/>
      <c r="K14" s="600" t="s">
        <v>117</v>
      </c>
      <c r="L14" s="601" t="s">
        <v>457</v>
      </c>
      <c r="M14" s="602" t="s">
        <v>461</v>
      </c>
      <c r="N14" s="607" t="s">
        <v>410</v>
      </c>
      <c r="O14" s="607"/>
      <c r="P14" s="607" t="s">
        <v>410</v>
      </c>
      <c r="Q14" s="607" t="s">
        <v>426</v>
      </c>
      <c r="R14" s="607" t="s">
        <v>413</v>
      </c>
      <c r="S14" s="607" t="s">
        <v>410</v>
      </c>
      <c r="T14" s="607" t="s">
        <v>410</v>
      </c>
      <c r="U14" s="607" t="s">
        <v>410</v>
      </c>
      <c r="V14" s="607"/>
      <c r="W14" s="607" t="s">
        <v>410</v>
      </c>
      <c r="X14" s="607" t="s">
        <v>410</v>
      </c>
      <c r="Y14" s="607" t="s">
        <v>225</v>
      </c>
      <c r="Z14" s="607"/>
      <c r="AA14" s="607" t="s">
        <v>410</v>
      </c>
      <c r="AB14" s="607" t="s">
        <v>410</v>
      </c>
      <c r="AC14" s="607" t="s">
        <v>413</v>
      </c>
      <c r="AD14" s="607" t="s">
        <v>432</v>
      </c>
      <c r="AE14" s="607" t="s">
        <v>410</v>
      </c>
      <c r="AF14" s="607" t="s">
        <v>432</v>
      </c>
      <c r="AG14" s="607"/>
      <c r="AH14" s="607" t="s">
        <v>410</v>
      </c>
      <c r="AI14" s="607" t="s">
        <v>410</v>
      </c>
      <c r="AJ14" s="607"/>
      <c r="AK14" s="607" t="s">
        <v>410</v>
      </c>
      <c r="AL14" s="607" t="s">
        <v>410</v>
      </c>
      <c r="AM14" s="607" t="s">
        <v>225</v>
      </c>
      <c r="AN14" s="607" t="s">
        <v>432</v>
      </c>
      <c r="AO14" s="607" t="s">
        <v>410</v>
      </c>
      <c r="AP14" s="607" t="s">
        <v>410</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
      </c>
      <c r="D15" s="185"/>
      <c r="E15" s="598" t="str">
        <f t="shared" si="6"/>
        <v>佐竹</v>
      </c>
      <c r="F15" s="599" t="str">
        <f t="shared" si="7"/>
        <v>〇</v>
      </c>
      <c r="G15" s="185"/>
      <c r="H15" s="185"/>
      <c r="I15" s="165" t="b">
        <v>0</v>
      </c>
      <c r="J15" s="580"/>
      <c r="K15" s="600" t="s">
        <v>173</v>
      </c>
      <c r="L15" s="601" t="s">
        <v>457</v>
      </c>
      <c r="M15" s="602">
        <v>8.0</v>
      </c>
      <c r="N15" s="607" t="s">
        <v>225</v>
      </c>
      <c r="O15" s="607"/>
      <c r="P15" s="607" t="s">
        <v>410</v>
      </c>
      <c r="Q15" s="607" t="s">
        <v>410</v>
      </c>
      <c r="R15" s="607"/>
      <c r="S15" s="607" t="s">
        <v>225</v>
      </c>
      <c r="T15" s="607" t="s">
        <v>432</v>
      </c>
      <c r="U15" s="607" t="s">
        <v>225</v>
      </c>
      <c r="V15" s="607" t="s">
        <v>410</v>
      </c>
      <c r="W15" s="607" t="s">
        <v>410</v>
      </c>
      <c r="X15" s="607" t="s">
        <v>410</v>
      </c>
      <c r="Y15" s="607"/>
      <c r="Z15" s="607" t="s">
        <v>225</v>
      </c>
      <c r="AA15" s="607" t="s">
        <v>410</v>
      </c>
      <c r="AB15" s="607" t="s">
        <v>410</v>
      </c>
      <c r="AC15" s="607" t="s">
        <v>432</v>
      </c>
      <c r="AD15" s="607" t="s">
        <v>410</v>
      </c>
      <c r="AE15" s="607" t="s">
        <v>410</v>
      </c>
      <c r="AF15" s="607" t="s">
        <v>225</v>
      </c>
      <c r="AG15" s="607" t="s">
        <v>225</v>
      </c>
      <c r="AH15" s="607" t="s">
        <v>410</v>
      </c>
      <c r="AI15" s="607"/>
      <c r="AJ15" s="607" t="s">
        <v>413</v>
      </c>
      <c r="AK15" s="607" t="s">
        <v>410</v>
      </c>
      <c r="AL15" s="607" t="s">
        <v>225</v>
      </c>
      <c r="AM15" s="607"/>
      <c r="AN15" s="607" t="s">
        <v>410</v>
      </c>
      <c r="AO15" s="607" t="s">
        <v>410</v>
      </c>
      <c r="AP15" s="607" t="s">
        <v>410</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462</v>
      </c>
      <c r="L16" s="601" t="s">
        <v>457</v>
      </c>
      <c r="M16" s="602">
        <v>9.0</v>
      </c>
      <c r="N16" s="607" t="s">
        <v>225</v>
      </c>
      <c r="O16" s="607" t="s">
        <v>225</v>
      </c>
      <c r="P16" s="607" t="s">
        <v>225</v>
      </c>
      <c r="Q16" s="607"/>
      <c r="R16" s="607" t="s">
        <v>225</v>
      </c>
      <c r="S16" s="607" t="s">
        <v>225</v>
      </c>
      <c r="T16" s="607" t="s">
        <v>225</v>
      </c>
      <c r="U16" s="607"/>
      <c r="V16" s="607"/>
      <c r="W16" s="607" t="s">
        <v>225</v>
      </c>
      <c r="X16" s="607" t="s">
        <v>225</v>
      </c>
      <c r="Y16" s="607" t="s">
        <v>225</v>
      </c>
      <c r="Z16" s="607" t="s">
        <v>225</v>
      </c>
      <c r="AA16" s="607" t="s">
        <v>225</v>
      </c>
      <c r="AB16" s="607"/>
      <c r="AC16" s="607" t="s">
        <v>432</v>
      </c>
      <c r="AD16" s="607" t="s">
        <v>225</v>
      </c>
      <c r="AE16" s="607" t="s">
        <v>225</v>
      </c>
      <c r="AF16" s="607"/>
      <c r="AG16" s="607" t="s">
        <v>225</v>
      </c>
      <c r="AH16" s="607" t="s">
        <v>225</v>
      </c>
      <c r="AI16" s="607"/>
      <c r="AJ16" s="607" t="s">
        <v>413</v>
      </c>
      <c r="AK16" s="607" t="s">
        <v>413</v>
      </c>
      <c r="AL16" s="607" t="s">
        <v>225</v>
      </c>
      <c r="AM16" s="607" t="s">
        <v>225</v>
      </c>
      <c r="AN16" s="607"/>
      <c r="AO16" s="607" t="s">
        <v>225</v>
      </c>
      <c r="AP16" s="607"/>
      <c r="AQ16" s="607" t="s">
        <v>225</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463</v>
      </c>
      <c r="L19" s="601" t="s">
        <v>464</v>
      </c>
      <c r="M19" s="613"/>
      <c r="N19" s="607" t="s">
        <v>410</v>
      </c>
      <c r="O19" s="607"/>
      <c r="P19" s="607" t="s">
        <v>410</v>
      </c>
      <c r="Q19" s="607" t="s">
        <v>410</v>
      </c>
      <c r="R19" s="607" t="s">
        <v>410</v>
      </c>
      <c r="S19" s="607"/>
      <c r="T19" s="607" t="s">
        <v>410</v>
      </c>
      <c r="U19" s="607" t="s">
        <v>410</v>
      </c>
      <c r="V19" s="607" t="s">
        <v>410</v>
      </c>
      <c r="W19" s="607"/>
      <c r="X19" s="607"/>
      <c r="Y19" s="607" t="s">
        <v>410</v>
      </c>
      <c r="Z19" s="607" t="s">
        <v>410</v>
      </c>
      <c r="AA19" s="607" t="s">
        <v>410</v>
      </c>
      <c r="AB19" s="607"/>
      <c r="AC19" s="607" t="s">
        <v>410</v>
      </c>
      <c r="AD19" s="607" t="s">
        <v>410</v>
      </c>
      <c r="AE19" s="607" t="s">
        <v>410</v>
      </c>
      <c r="AF19" s="607"/>
      <c r="AG19" s="607" t="s">
        <v>410</v>
      </c>
      <c r="AH19" s="607" t="s">
        <v>410</v>
      </c>
      <c r="AI19" s="607" t="s">
        <v>410</v>
      </c>
      <c r="AJ19" s="607" t="s">
        <v>410</v>
      </c>
      <c r="AK19" s="607"/>
      <c r="AL19" s="607" t="s">
        <v>410</v>
      </c>
      <c r="AM19" s="607" t="s">
        <v>410</v>
      </c>
      <c r="AN19" s="607" t="s">
        <v>410</v>
      </c>
      <c r="AO19" s="607"/>
      <c r="AP19" s="607" t="s">
        <v>410</v>
      </c>
      <c r="AQ19" s="607" t="s">
        <v>410</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v>
      </c>
      <c r="D20" s="185"/>
      <c r="E20" s="598" t="str">
        <f t="shared" si="6"/>
        <v>キソル</v>
      </c>
      <c r="F20" s="599" t="str">
        <f t="shared" si="7"/>
        <v/>
      </c>
      <c r="G20" s="185"/>
      <c r="H20" s="185"/>
      <c r="I20" s="165" t="b">
        <v>0</v>
      </c>
      <c r="J20" s="580"/>
      <c r="K20" s="600" t="s">
        <v>465</v>
      </c>
      <c r="L20" s="601" t="s">
        <v>464</v>
      </c>
      <c r="M20" s="613"/>
      <c r="N20" s="607"/>
      <c r="O20" s="607"/>
      <c r="P20" s="607"/>
      <c r="Q20" s="607" t="s">
        <v>410</v>
      </c>
      <c r="R20" s="607" t="s">
        <v>410</v>
      </c>
      <c r="S20" s="607"/>
      <c r="T20" s="607"/>
      <c r="U20" s="607"/>
      <c r="V20" s="607"/>
      <c r="W20" s="607"/>
      <c r="X20" s="607" t="s">
        <v>410</v>
      </c>
      <c r="Y20" s="607" t="s">
        <v>410</v>
      </c>
      <c r="Z20" s="607"/>
      <c r="AA20" s="607"/>
      <c r="AB20" s="607"/>
      <c r="AC20" s="607"/>
      <c r="AD20" s="607"/>
      <c r="AE20" s="607" t="s">
        <v>410</v>
      </c>
      <c r="AF20" s="607" t="s">
        <v>410</v>
      </c>
      <c r="AG20" s="607"/>
      <c r="AH20" s="607"/>
      <c r="AI20" s="607"/>
      <c r="AJ20" s="607"/>
      <c r="AK20" s="607"/>
      <c r="AL20" s="607" t="s">
        <v>410</v>
      </c>
      <c r="AM20" s="607" t="s">
        <v>410</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464</v>
      </c>
      <c r="M21" s="613"/>
      <c r="N21" s="607"/>
      <c r="O21" s="607" t="s">
        <v>410</v>
      </c>
      <c r="P21" s="607" t="s">
        <v>410</v>
      </c>
      <c r="Q21" s="607" t="s">
        <v>410</v>
      </c>
      <c r="R21" s="607" t="s">
        <v>410</v>
      </c>
      <c r="S21" s="607" t="s">
        <v>410</v>
      </c>
      <c r="T21" s="607"/>
      <c r="U21" s="607" t="s">
        <v>410</v>
      </c>
      <c r="V21" s="607" t="s">
        <v>410</v>
      </c>
      <c r="W21" s="607"/>
      <c r="X21" s="607" t="s">
        <v>410</v>
      </c>
      <c r="Y21" s="607" t="s">
        <v>410</v>
      </c>
      <c r="Z21" s="607" t="s">
        <v>410</v>
      </c>
      <c r="AA21" s="607"/>
      <c r="AB21" s="607" t="s">
        <v>410</v>
      </c>
      <c r="AC21" s="607" t="s">
        <v>410</v>
      </c>
      <c r="AD21" s="607"/>
      <c r="AE21" s="607" t="s">
        <v>410</v>
      </c>
      <c r="AF21" s="607" t="s">
        <v>410</v>
      </c>
      <c r="AG21" s="607" t="s">
        <v>410</v>
      </c>
      <c r="AH21" s="607"/>
      <c r="AI21" s="607" t="s">
        <v>410</v>
      </c>
      <c r="AJ21" s="607" t="s">
        <v>410</v>
      </c>
      <c r="AK21" s="607"/>
      <c r="AL21" s="607" t="s">
        <v>410</v>
      </c>
      <c r="AM21" s="607" t="s">
        <v>410</v>
      </c>
      <c r="AN21" s="607" t="s">
        <v>410</v>
      </c>
      <c r="AO21" s="607"/>
      <c r="AP21" s="607" t="s">
        <v>410</v>
      </c>
      <c r="AQ21" s="607" t="s">
        <v>410</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v>
      </c>
      <c r="G22" s="185"/>
      <c r="H22" s="185"/>
      <c r="I22" s="165" t="b">
        <v>0</v>
      </c>
      <c r="J22" s="580"/>
      <c r="K22" s="600" t="s">
        <v>466</v>
      </c>
      <c r="L22" s="601" t="s">
        <v>464</v>
      </c>
      <c r="M22" s="613"/>
      <c r="N22" s="607"/>
      <c r="O22" s="607" t="s">
        <v>410</v>
      </c>
      <c r="P22" s="607"/>
      <c r="Q22" s="607"/>
      <c r="R22" s="607"/>
      <c r="S22" s="607" t="s">
        <v>410</v>
      </c>
      <c r="T22" s="607" t="s">
        <v>410</v>
      </c>
      <c r="U22" s="607"/>
      <c r="V22" s="607"/>
      <c r="W22" s="607"/>
      <c r="X22" s="607"/>
      <c r="Y22" s="607"/>
      <c r="Z22" s="607" t="s">
        <v>410</v>
      </c>
      <c r="AA22" s="607" t="s">
        <v>410</v>
      </c>
      <c r="AB22" s="607"/>
      <c r="AC22" s="607"/>
      <c r="AD22" s="607"/>
      <c r="AE22" s="607"/>
      <c r="AF22" s="607"/>
      <c r="AG22" s="607" t="s">
        <v>410</v>
      </c>
      <c r="AH22" s="607"/>
      <c r="AI22" s="607"/>
      <c r="AJ22" s="607" t="s">
        <v>410</v>
      </c>
      <c r="AK22" s="607"/>
      <c r="AL22" s="607"/>
      <c r="AM22" s="607"/>
      <c r="AN22" s="607" t="s">
        <v>410</v>
      </c>
      <c r="AO22" s="607"/>
      <c r="AP22" s="607"/>
      <c r="AQ22" s="607" t="s">
        <v>410</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
      </c>
      <c r="G23" s="185"/>
      <c r="H23" s="185"/>
      <c r="I23" s="165" t="b">
        <v>0</v>
      </c>
      <c r="J23" s="580"/>
      <c r="K23" s="600" t="s">
        <v>139</v>
      </c>
      <c r="L23" s="601" t="s">
        <v>464</v>
      </c>
      <c r="M23" s="613"/>
      <c r="N23" s="607" t="s">
        <v>410</v>
      </c>
      <c r="O23" s="607" t="s">
        <v>410</v>
      </c>
      <c r="P23" s="607"/>
      <c r="Q23" s="607"/>
      <c r="R23" s="607"/>
      <c r="S23" s="607"/>
      <c r="T23" s="607" t="s">
        <v>410</v>
      </c>
      <c r="U23" s="607" t="s">
        <v>410</v>
      </c>
      <c r="V23" s="607" t="s">
        <v>410</v>
      </c>
      <c r="W23" s="607"/>
      <c r="X23" s="607"/>
      <c r="Y23" s="607"/>
      <c r="Z23" s="607"/>
      <c r="AA23" s="607" t="s">
        <v>410</v>
      </c>
      <c r="AB23" s="607" t="s">
        <v>410</v>
      </c>
      <c r="AC23" s="607" t="s">
        <v>410</v>
      </c>
      <c r="AD23" s="607"/>
      <c r="AE23" s="607"/>
      <c r="AF23" s="607"/>
      <c r="AG23" s="607"/>
      <c r="AH23" s="607" t="s">
        <v>430</v>
      </c>
      <c r="AI23" s="607" t="s">
        <v>410</v>
      </c>
      <c r="AJ23" s="607" t="s">
        <v>410</v>
      </c>
      <c r="AK23" s="607"/>
      <c r="AL23" s="607"/>
      <c r="AM23" s="607"/>
      <c r="AN23" s="607"/>
      <c r="AO23" s="607" t="s">
        <v>410</v>
      </c>
      <c r="AP23" s="607" t="s">
        <v>410</v>
      </c>
      <c r="AQ23" s="607" t="s">
        <v>410</v>
      </c>
      <c r="AR23" s="608">
        <f t="array" ref="AR23">SUM(COUNTIF(N23:AQ23, {"◎","〇","☆","共","特","浴"}))</f>
        <v>13</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v>
      </c>
      <c r="G24" s="185"/>
      <c r="H24" s="185"/>
      <c r="I24" s="165" t="b">
        <v>0</v>
      </c>
      <c r="J24" s="580"/>
      <c r="K24" s="600" t="s">
        <v>467</v>
      </c>
      <c r="L24" s="601" t="s">
        <v>464</v>
      </c>
      <c r="M24" s="613"/>
      <c r="N24" s="607"/>
      <c r="O24" s="607" t="s">
        <v>410</v>
      </c>
      <c r="P24" s="607" t="s">
        <v>410</v>
      </c>
      <c r="Q24" s="607"/>
      <c r="R24" s="607"/>
      <c r="S24" s="607" t="s">
        <v>410</v>
      </c>
      <c r="T24" s="607" t="s">
        <v>410</v>
      </c>
      <c r="U24" s="607"/>
      <c r="V24" s="607"/>
      <c r="W24" s="607"/>
      <c r="X24" s="607"/>
      <c r="Y24" s="607"/>
      <c r="Z24" s="607" t="s">
        <v>410</v>
      </c>
      <c r="AA24" s="607" t="s">
        <v>410</v>
      </c>
      <c r="AB24" s="607"/>
      <c r="AC24" s="607" t="s">
        <v>410</v>
      </c>
      <c r="AD24" s="607" t="s">
        <v>410</v>
      </c>
      <c r="AE24" s="607"/>
      <c r="AF24" s="607"/>
      <c r="AG24" s="607" t="s">
        <v>410</v>
      </c>
      <c r="AH24" s="607" t="s">
        <v>410</v>
      </c>
      <c r="AI24" s="607"/>
      <c r="AJ24" s="607" t="s">
        <v>410</v>
      </c>
      <c r="AK24" s="607" t="s">
        <v>410</v>
      </c>
      <c r="AL24" s="607"/>
      <c r="AM24" s="607"/>
      <c r="AN24" s="607" t="s">
        <v>410</v>
      </c>
      <c r="AO24" s="607" t="s">
        <v>410</v>
      </c>
      <c r="AP24" s="607"/>
      <c r="AQ24" s="607" t="s">
        <v>410</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v>
      </c>
      <c r="D25" s="185"/>
      <c r="E25" s="598" t="str">
        <f t="shared" si="6"/>
        <v>カテル</v>
      </c>
      <c r="F25" s="599" t="str">
        <f t="shared" si="7"/>
        <v/>
      </c>
      <c r="G25" s="185"/>
      <c r="H25" s="185"/>
      <c r="I25" s="165" t="b">
        <v>0</v>
      </c>
      <c r="J25" s="580"/>
      <c r="K25" s="600" t="s">
        <v>468</v>
      </c>
      <c r="L25" s="601" t="s">
        <v>464</v>
      </c>
      <c r="M25" s="613"/>
      <c r="N25" s="607"/>
      <c r="O25" s="607"/>
      <c r="P25" s="607"/>
      <c r="Q25" s="607" t="s">
        <v>410</v>
      </c>
      <c r="R25" s="607" t="s">
        <v>410</v>
      </c>
      <c r="S25" s="607"/>
      <c r="T25" s="607"/>
      <c r="U25" s="607"/>
      <c r="V25" s="607"/>
      <c r="W25" s="607"/>
      <c r="X25" s="607" t="s">
        <v>410</v>
      </c>
      <c r="Y25" s="607" t="s">
        <v>410</v>
      </c>
      <c r="Z25" s="607"/>
      <c r="AA25" s="607"/>
      <c r="AB25" s="607"/>
      <c r="AC25" s="607"/>
      <c r="AD25" s="607"/>
      <c r="AE25" s="607" t="s">
        <v>410</v>
      </c>
      <c r="AF25" s="607" t="s">
        <v>410</v>
      </c>
      <c r="AG25" s="607"/>
      <c r="AH25" s="607"/>
      <c r="AI25" s="607"/>
      <c r="AJ25" s="607"/>
      <c r="AK25" s="607"/>
      <c r="AL25" s="607" t="s">
        <v>410</v>
      </c>
      <c r="AM25" s="607" t="s">
        <v>410</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v>
      </c>
      <c r="D26" s="185"/>
      <c r="E26" s="598" t="str">
        <f t="shared" si="6"/>
        <v>マニサ</v>
      </c>
      <c r="F26" s="599" t="str">
        <f t="shared" si="7"/>
        <v>☆</v>
      </c>
      <c r="G26" s="185"/>
      <c r="H26" s="185"/>
      <c r="I26" s="165" t="b">
        <v>0</v>
      </c>
      <c r="J26" s="580"/>
      <c r="K26" s="600" t="s">
        <v>147</v>
      </c>
      <c r="L26" s="601" t="s">
        <v>464</v>
      </c>
      <c r="M26" s="602"/>
      <c r="N26" s="607"/>
      <c r="O26" s="607"/>
      <c r="P26" s="607"/>
      <c r="Q26" s="607" t="s">
        <v>410</v>
      </c>
      <c r="R26" s="607" t="s">
        <v>410</v>
      </c>
      <c r="S26" s="607" t="s">
        <v>410</v>
      </c>
      <c r="T26" s="607"/>
      <c r="U26" s="607"/>
      <c r="V26" s="607"/>
      <c r="W26" s="607"/>
      <c r="X26" s="607" t="s">
        <v>410</v>
      </c>
      <c r="Y26" s="607" t="s">
        <v>410</v>
      </c>
      <c r="Z26" s="607" t="s">
        <v>410</v>
      </c>
      <c r="AA26" s="607"/>
      <c r="AB26" s="607"/>
      <c r="AC26" s="607"/>
      <c r="AD26" s="607"/>
      <c r="AE26" s="607" t="s">
        <v>410</v>
      </c>
      <c r="AF26" s="607" t="s">
        <v>410</v>
      </c>
      <c r="AG26" s="607" t="s">
        <v>410</v>
      </c>
      <c r="AH26" s="607"/>
      <c r="AI26" s="607"/>
      <c r="AJ26" s="607"/>
      <c r="AK26" s="607"/>
      <c r="AL26" s="607" t="s">
        <v>410</v>
      </c>
      <c r="AM26" s="607" t="s">
        <v>225</v>
      </c>
      <c r="AN26" s="607" t="s">
        <v>410</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469</v>
      </c>
      <c r="L27" s="621" t="s">
        <v>464</v>
      </c>
      <c r="M27" s="622" t="s">
        <v>470</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
      </c>
      <c r="G28" s="185"/>
      <c r="H28" s="185"/>
      <c r="I28" s="165" t="b">
        <v>0</v>
      </c>
      <c r="J28" s="580"/>
      <c r="K28" s="600" t="s">
        <v>471</v>
      </c>
      <c r="L28" s="601" t="s">
        <v>464</v>
      </c>
      <c r="M28" s="613"/>
      <c r="N28" s="607" t="s">
        <v>410</v>
      </c>
      <c r="O28" s="607" t="s">
        <v>410</v>
      </c>
      <c r="P28" s="607" t="s">
        <v>410</v>
      </c>
      <c r="Q28" s="607"/>
      <c r="R28" s="607" t="s">
        <v>410</v>
      </c>
      <c r="S28" s="607"/>
      <c r="T28" s="607"/>
      <c r="U28" s="607" t="s">
        <v>410</v>
      </c>
      <c r="V28" s="607" t="s">
        <v>410</v>
      </c>
      <c r="W28" s="607" t="s">
        <v>410</v>
      </c>
      <c r="X28" s="607"/>
      <c r="Y28" s="607" t="s">
        <v>410</v>
      </c>
      <c r="Z28" s="607"/>
      <c r="AA28" s="607"/>
      <c r="AB28" s="607" t="s">
        <v>410</v>
      </c>
      <c r="AC28" s="607" t="s">
        <v>410</v>
      </c>
      <c r="AD28" s="607" t="s">
        <v>410</v>
      </c>
      <c r="AE28" s="607"/>
      <c r="AF28" s="607" t="s">
        <v>410</v>
      </c>
      <c r="AG28" s="607"/>
      <c r="AH28" s="607"/>
      <c r="AI28" s="607" t="s">
        <v>410</v>
      </c>
      <c r="AJ28" s="607" t="s">
        <v>410</v>
      </c>
      <c r="AK28" s="607" t="s">
        <v>410</v>
      </c>
      <c r="AL28" s="607"/>
      <c r="AM28" s="607" t="s">
        <v>410</v>
      </c>
      <c r="AN28" s="607"/>
      <c r="AO28" s="607"/>
      <c r="AP28" s="607" t="s">
        <v>410</v>
      </c>
      <c r="AQ28" s="607" t="s">
        <v>410</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464</v>
      </c>
      <c r="M29" s="613"/>
      <c r="N29" s="607" t="s">
        <v>410</v>
      </c>
      <c r="O29" s="607" t="s">
        <v>410</v>
      </c>
      <c r="P29" s="607"/>
      <c r="Q29" s="607" t="s">
        <v>410</v>
      </c>
      <c r="R29" s="607"/>
      <c r="S29" s="607"/>
      <c r="T29" s="607" t="s">
        <v>410</v>
      </c>
      <c r="U29" s="607" t="s">
        <v>410</v>
      </c>
      <c r="V29" s="607"/>
      <c r="W29" s="607" t="s">
        <v>410</v>
      </c>
      <c r="X29" s="607" t="s">
        <v>410</v>
      </c>
      <c r="Y29" s="607"/>
      <c r="Z29" s="607"/>
      <c r="AA29" s="607" t="s">
        <v>410</v>
      </c>
      <c r="AB29" s="607" t="s">
        <v>410</v>
      </c>
      <c r="AC29" s="607" t="s">
        <v>410</v>
      </c>
      <c r="AD29" s="607"/>
      <c r="AE29" s="607" t="s">
        <v>410</v>
      </c>
      <c r="AF29" s="607"/>
      <c r="AG29" s="607"/>
      <c r="AH29" s="607" t="s">
        <v>410</v>
      </c>
      <c r="AI29" s="607" t="s">
        <v>410</v>
      </c>
      <c r="AJ29" s="607"/>
      <c r="AK29" s="607" t="s">
        <v>410</v>
      </c>
      <c r="AL29" s="607" t="s">
        <v>410</v>
      </c>
      <c r="AM29" s="607"/>
      <c r="AN29" s="607"/>
      <c r="AO29" s="607" t="s">
        <v>410</v>
      </c>
      <c r="AP29" s="607" t="s">
        <v>410</v>
      </c>
      <c r="AQ29" s="607" t="s">
        <v>410</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464</v>
      </c>
      <c r="M30" s="613"/>
      <c r="N30" s="607" t="s">
        <v>410</v>
      </c>
      <c r="O30" s="607"/>
      <c r="P30" s="607" t="s">
        <v>410</v>
      </c>
      <c r="Q30" s="607"/>
      <c r="R30" s="607" t="s">
        <v>410</v>
      </c>
      <c r="S30" s="607" t="s">
        <v>410</v>
      </c>
      <c r="T30" s="607" t="s">
        <v>410</v>
      </c>
      <c r="U30" s="607"/>
      <c r="V30" s="607" t="s">
        <v>410</v>
      </c>
      <c r="W30" s="607" t="s">
        <v>410</v>
      </c>
      <c r="X30" s="607"/>
      <c r="Y30" s="607" t="s">
        <v>410</v>
      </c>
      <c r="Z30" s="607" t="s">
        <v>410</v>
      </c>
      <c r="AA30" s="607" t="s">
        <v>410</v>
      </c>
      <c r="AB30" s="607"/>
      <c r="AC30" s="607" t="s">
        <v>410</v>
      </c>
      <c r="AD30" s="607" t="s">
        <v>410</v>
      </c>
      <c r="AE30" s="607"/>
      <c r="AF30" s="607" t="s">
        <v>410</v>
      </c>
      <c r="AG30" s="607" t="s">
        <v>410</v>
      </c>
      <c r="AH30" s="607" t="s">
        <v>410</v>
      </c>
      <c r="AI30" s="607"/>
      <c r="AJ30" s="607" t="s">
        <v>410</v>
      </c>
      <c r="AK30" s="607" t="s">
        <v>410</v>
      </c>
      <c r="AL30" s="607"/>
      <c r="AM30" s="607" t="s">
        <v>410</v>
      </c>
      <c r="AN30" s="607" t="s">
        <v>410</v>
      </c>
      <c r="AO30" s="607" t="s">
        <v>410</v>
      </c>
      <c r="AP30" s="607"/>
      <c r="AQ30" s="607" t="s">
        <v>410</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472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27</v>
      </c>
      <c r="D38" s="185"/>
      <c r="E38" s="598" t="str">
        <f t="shared" si="10"/>
        <v>メイド数</v>
      </c>
      <c r="F38" s="599">
        <f t="shared" si="11"/>
        <v>26</v>
      </c>
      <c r="G38" s="185"/>
      <c r="H38" s="185"/>
      <c r="I38" s="165" t="b">
        <v>0</v>
      </c>
      <c r="J38" s="580"/>
      <c r="K38" s="600" t="s">
        <v>473</v>
      </c>
      <c r="L38" s="601" t="s">
        <v>464</v>
      </c>
      <c r="M38" s="602" t="s">
        <v>225</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26</v>
      </c>
      <c r="Y38" s="603">
        <f t="shared" si="13"/>
        <v>27</v>
      </c>
      <c r="Z38" s="603">
        <f t="shared" si="13"/>
        <v>26</v>
      </c>
      <c r="AA38" s="603">
        <f t="shared" si="13"/>
        <v>25</v>
      </c>
      <c r="AB38" s="603">
        <f t="shared" si="13"/>
        <v>19</v>
      </c>
      <c r="AC38" s="603">
        <f t="shared" si="13"/>
        <v>24</v>
      </c>
      <c r="AD38" s="603">
        <f t="shared" si="13"/>
        <v>26</v>
      </c>
      <c r="AE38" s="603">
        <f t="shared" si="13"/>
        <v>27</v>
      </c>
      <c r="AF38" s="603">
        <f t="shared" si="13"/>
        <v>25</v>
      </c>
      <c r="AG38" s="603">
        <f t="shared" si="13"/>
        <v>26</v>
      </c>
      <c r="AH38" s="603">
        <f t="shared" si="13"/>
        <v>23</v>
      </c>
      <c r="AI38" s="603">
        <f t="shared" si="13"/>
        <v>19</v>
      </c>
      <c r="AJ38" s="603">
        <f t="shared" si="13"/>
        <v>24</v>
      </c>
      <c r="AK38" s="603">
        <f t="shared" si="13"/>
        <v>25</v>
      </c>
      <c r="AL38" s="603">
        <f t="shared" si="13"/>
        <v>25</v>
      </c>
      <c r="AM38" s="603">
        <f t="shared" si="13"/>
        <v>28</v>
      </c>
      <c r="AN38" s="603">
        <f t="shared" si="13"/>
        <v>24</v>
      </c>
      <c r="AO38" s="603">
        <f t="shared" si="13"/>
        <v>23</v>
      </c>
      <c r="AP38" s="603">
        <f t="shared" si="13"/>
        <v>18</v>
      </c>
      <c r="AQ38" s="603">
        <f t="shared" si="13"/>
        <v>25</v>
      </c>
      <c r="AR38" s="607" t="s">
        <v>451</v>
      </c>
      <c r="AS38" s="607" t="s">
        <v>451</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474</v>
      </c>
      <c r="L39" s="601" t="s">
        <v>464</v>
      </c>
      <c r="M39" s="602" t="s">
        <v>413</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0</v>
      </c>
      <c r="AF39" s="607">
        <f t="shared" si="15"/>
        <v>0</v>
      </c>
      <c r="AG39" s="607">
        <f t="shared" si="15"/>
        <v>1</v>
      </c>
      <c r="AH39" s="607">
        <f t="shared" si="15"/>
        <v>1</v>
      </c>
      <c r="AI39" s="607">
        <f t="shared" si="15"/>
        <v>1</v>
      </c>
      <c r="AJ39" s="607">
        <f t="shared" si="15"/>
        <v>3</v>
      </c>
      <c r="AK39" s="607">
        <f t="shared" si="15"/>
        <v>1</v>
      </c>
      <c r="AL39" s="607">
        <f t="shared" si="15"/>
        <v>0</v>
      </c>
      <c r="AM39" s="607">
        <f t="shared" si="15"/>
        <v>0</v>
      </c>
      <c r="AN39" s="607">
        <f t="shared" si="15"/>
        <v>1</v>
      </c>
      <c r="AO39" s="607">
        <f t="shared" si="15"/>
        <v>1</v>
      </c>
      <c r="AP39" s="607">
        <f t="shared" si="15"/>
        <v>1</v>
      </c>
      <c r="AQ39" s="607">
        <f t="shared" si="15"/>
        <v>1</v>
      </c>
      <c r="AR39" s="607" t="s">
        <v>451</v>
      </c>
      <c r="AS39" s="607" t="s">
        <v>451</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475</v>
      </c>
      <c r="L40" s="634" t="s">
        <v>476</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451</v>
      </c>
      <c r="AS40" s="607" t="s">
        <v>451</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312</v>
      </c>
      <c r="D41" s="185"/>
      <c r="E41" s="598" t="str">
        <f t="shared" si="10"/>
        <v>稼働予定</v>
      </c>
      <c r="F41" s="599">
        <f t="shared" si="11"/>
        <v>253</v>
      </c>
      <c r="G41" s="185"/>
      <c r="H41" s="185"/>
      <c r="I41" s="165" t="b">
        <v>0</v>
      </c>
      <c r="J41" s="580"/>
      <c r="K41" s="600" t="s">
        <v>477</v>
      </c>
      <c r="L41" s="601" t="s">
        <v>476</v>
      </c>
      <c r="M41" s="602" t="s">
        <v>478</v>
      </c>
      <c r="N41" s="607">
        <v>259.0</v>
      </c>
      <c r="O41" s="607">
        <v>272.0</v>
      </c>
      <c r="P41" s="607">
        <v>288.0</v>
      </c>
      <c r="Q41" s="607">
        <v>289.0</v>
      </c>
      <c r="R41" s="607">
        <v>295.0</v>
      </c>
      <c r="S41" s="607">
        <v>303.0</v>
      </c>
      <c r="T41" s="607">
        <v>273.0</v>
      </c>
      <c r="U41" s="607">
        <v>257.0</v>
      </c>
      <c r="V41" s="607">
        <v>273.0</v>
      </c>
      <c r="W41" s="607">
        <v>281.0</v>
      </c>
      <c r="X41" s="607">
        <v>268.0</v>
      </c>
      <c r="Y41" s="607">
        <v>312.0</v>
      </c>
      <c r="Z41" s="607">
        <v>253.0</v>
      </c>
      <c r="AA41" s="607">
        <v>267.0</v>
      </c>
      <c r="AB41" s="607">
        <v>268.0</v>
      </c>
      <c r="AC41" s="607">
        <v>292.0</v>
      </c>
      <c r="AD41" s="607">
        <v>286.0</v>
      </c>
      <c r="AE41" s="607">
        <v>289.0</v>
      </c>
      <c r="AF41" s="607">
        <v>286.0</v>
      </c>
      <c r="AG41" s="607">
        <v>298.0</v>
      </c>
      <c r="AH41" s="607">
        <v>277.0</v>
      </c>
      <c r="AI41" s="607">
        <v>268.0</v>
      </c>
      <c r="AJ41" s="607">
        <v>265.0</v>
      </c>
      <c r="AK41" s="607">
        <v>254.0</v>
      </c>
      <c r="AL41" s="607">
        <v>285.0</v>
      </c>
      <c r="AM41" s="607">
        <v>268.0</v>
      </c>
      <c r="AN41" s="607">
        <v>234.0</v>
      </c>
      <c r="AO41" s="607">
        <v>214.0</v>
      </c>
      <c r="AP41" s="607">
        <v>218.0</v>
      </c>
      <c r="AQ41" s="607">
        <v>230.0</v>
      </c>
      <c r="AR41" s="585" t="s">
        <v>451</v>
      </c>
      <c r="AS41" s="607" t="s">
        <v>451</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
      </c>
      <c r="D42" s="185"/>
      <c r="E42" s="598" t="str">
        <f t="shared" si="10"/>
        <v>大橋</v>
      </c>
      <c r="F42" s="599" t="str">
        <f t="shared" si="11"/>
        <v>営</v>
      </c>
      <c r="G42" s="185"/>
      <c r="H42" s="185"/>
      <c r="I42" s="165" t="b">
        <v>0</v>
      </c>
      <c r="J42" s="580"/>
      <c r="K42" s="600" t="s">
        <v>479</v>
      </c>
      <c r="L42" s="601" t="s">
        <v>480</v>
      </c>
      <c r="M42" s="613"/>
      <c r="N42" s="607" t="s">
        <v>481</v>
      </c>
      <c r="O42" s="607" t="s">
        <v>481</v>
      </c>
      <c r="P42" s="607" t="s">
        <v>481</v>
      </c>
      <c r="Q42" s="607"/>
      <c r="R42" s="607"/>
      <c r="S42" s="607" t="s">
        <v>481</v>
      </c>
      <c r="T42" s="607" t="s">
        <v>481</v>
      </c>
      <c r="U42" s="607" t="s">
        <v>481</v>
      </c>
      <c r="V42" s="607" t="s">
        <v>481</v>
      </c>
      <c r="W42" s="607" t="s">
        <v>481</v>
      </c>
      <c r="X42" s="607"/>
      <c r="Y42" s="607"/>
      <c r="Z42" s="607" t="s">
        <v>481</v>
      </c>
      <c r="AA42" s="607" t="s">
        <v>481</v>
      </c>
      <c r="AB42" s="607" t="s">
        <v>481</v>
      </c>
      <c r="AC42" s="607" t="s">
        <v>481</v>
      </c>
      <c r="AD42" s="607" t="s">
        <v>481</v>
      </c>
      <c r="AE42" s="607"/>
      <c r="AF42" s="607"/>
      <c r="AG42" s="607" t="s">
        <v>481</v>
      </c>
      <c r="AH42" s="607" t="s">
        <v>481</v>
      </c>
      <c r="AI42" s="607" t="s">
        <v>481</v>
      </c>
      <c r="AJ42" s="607" t="s">
        <v>481</v>
      </c>
      <c r="AK42" s="607" t="s">
        <v>481</v>
      </c>
      <c r="AL42" s="607"/>
      <c r="AM42" s="607"/>
      <c r="AN42" s="607" t="s">
        <v>481</v>
      </c>
      <c r="AO42" s="607" t="s">
        <v>481</v>
      </c>
      <c r="AP42" s="607" t="s">
        <v>481</v>
      </c>
      <c r="AQ42" s="607" t="s">
        <v>481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共</v>
      </c>
      <c r="G43" s="185"/>
      <c r="H43" s="185"/>
      <c r="I43" s="165" t="b">
        <v>0</v>
      </c>
      <c r="J43" s="580"/>
      <c r="K43" s="600" t="s">
        <v>482</v>
      </c>
      <c r="L43" s="601" t="s">
        <v>483</v>
      </c>
      <c r="M43" s="602" t="s">
        <v>484</v>
      </c>
      <c r="N43" s="607" t="s">
        <v>413</v>
      </c>
      <c r="O43" s="607"/>
      <c r="P43" s="607"/>
      <c r="Q43" s="607"/>
      <c r="R43" s="607"/>
      <c r="S43" s="607" t="s">
        <v>413</v>
      </c>
      <c r="T43" s="607" t="s">
        <v>413</v>
      </c>
      <c r="U43" s="607" t="s">
        <v>413</v>
      </c>
      <c r="V43" s="607"/>
      <c r="W43" s="607"/>
      <c r="X43" s="607"/>
      <c r="Y43" s="607"/>
      <c r="Z43" s="607" t="s">
        <v>413</v>
      </c>
      <c r="AA43" s="607" t="s">
        <v>413</v>
      </c>
      <c r="AB43" s="607" t="s">
        <v>413</v>
      </c>
      <c r="AC43" s="607"/>
      <c r="AD43" s="607"/>
      <c r="AE43" s="607"/>
      <c r="AF43" s="607"/>
      <c r="AG43" s="607" t="s">
        <v>413</v>
      </c>
      <c r="AH43" s="607" t="s">
        <v>413</v>
      </c>
      <c r="AI43" s="607" t="s">
        <v>413</v>
      </c>
      <c r="AJ43" s="607"/>
      <c r="AK43" s="607"/>
      <c r="AL43" s="607"/>
      <c r="AM43" s="607"/>
      <c r="AN43" s="607" t="s">
        <v>413</v>
      </c>
      <c r="AO43" s="607" t="s">
        <v>413</v>
      </c>
      <c r="AP43" s="607" t="s">
        <v>413</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485</v>
      </c>
      <c r="L44" s="601" t="s">
        <v>483</v>
      </c>
      <c r="M44" s="602" t="s">
        <v>486</v>
      </c>
      <c r="N44" s="607"/>
      <c r="O44" s="607"/>
      <c r="P44" s="607"/>
      <c r="Q44" s="607"/>
      <c r="R44" s="607"/>
      <c r="S44" s="607"/>
      <c r="T44" s="607"/>
      <c r="U44" s="607"/>
      <c r="V44" s="607"/>
      <c r="W44" s="607"/>
      <c r="X44" s="607" t="s">
        <v>413</v>
      </c>
      <c r="Y44" s="607" t="s">
        <v>487</v>
      </c>
      <c r="Z44" s="607"/>
      <c r="AA44" s="607"/>
      <c r="AB44" s="607"/>
      <c r="AC44" s="607"/>
      <c r="AD44" s="607"/>
      <c r="AE44" s="607"/>
      <c r="AF44" s="607"/>
      <c r="AG44" s="607"/>
      <c r="AH44" s="607"/>
      <c r="AI44" s="607"/>
      <c r="AJ44" s="607"/>
      <c r="AK44" s="607"/>
      <c r="AL44" s="607"/>
      <c r="AM44" s="607"/>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〇</v>
      </c>
      <c r="D45" s="185"/>
      <c r="E45" s="598" t="str">
        <f t="shared" ref="E45:E93" si="20">K45</f>
        <v>ワンディ</v>
      </c>
      <c r="F45" s="599" t="str">
        <f t="shared" ref="F45:F92" si="21">if(E45="","", xlookup($E$7,$N$7:$AQ$7,$N45:$AQ45))</f>
        <v/>
      </c>
      <c r="G45" s="185"/>
      <c r="H45" s="185"/>
      <c r="I45" s="165" t="b">
        <v>0</v>
      </c>
      <c r="J45" s="580"/>
      <c r="K45" s="600" t="s">
        <v>488</v>
      </c>
      <c r="L45" s="601" t="s">
        <v>489</v>
      </c>
      <c r="M45" s="602" t="s">
        <v>490</v>
      </c>
      <c r="N45" s="607"/>
      <c r="O45" s="607"/>
      <c r="P45" s="607"/>
      <c r="Q45" s="607" t="s">
        <v>225</v>
      </c>
      <c r="R45" s="607" t="s">
        <v>225</v>
      </c>
      <c r="S45" s="607"/>
      <c r="T45" s="607" t="s">
        <v>225</v>
      </c>
      <c r="U45" s="607"/>
      <c r="V45" s="607"/>
      <c r="W45" s="607"/>
      <c r="X45" s="607" t="s">
        <v>225</v>
      </c>
      <c r="Y45" s="607" t="s">
        <v>225</v>
      </c>
      <c r="Z45" s="607"/>
      <c r="AA45" s="607" t="s">
        <v>225</v>
      </c>
      <c r="AB45" s="607"/>
      <c r="AC45" s="607"/>
      <c r="AD45" s="607"/>
      <c r="AE45" s="607" t="s">
        <v>225</v>
      </c>
      <c r="AF45" s="607" t="s">
        <v>225</v>
      </c>
      <c r="AG45" s="607"/>
      <c r="AH45" s="607" t="s">
        <v>225</v>
      </c>
      <c r="AI45" s="607"/>
      <c r="AJ45" s="607"/>
      <c r="AK45" s="607"/>
      <c r="AL45" s="607" t="s">
        <v>225</v>
      </c>
      <c r="AM45" s="607" t="s">
        <v>225</v>
      </c>
      <c r="AN45" s="607"/>
      <c r="AO45" s="607" t="s">
        <v>225</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
      </c>
      <c r="D46" s="185"/>
      <c r="E46" s="598" t="str">
        <f t="shared" si="20"/>
        <v>カノン</v>
      </c>
      <c r="F46" s="599" t="str">
        <f t="shared" si="21"/>
        <v>〇</v>
      </c>
      <c r="G46" s="185"/>
      <c r="H46" s="185"/>
      <c r="I46" s="165" t="b">
        <v>0</v>
      </c>
      <c r="J46" s="580"/>
      <c r="K46" s="600" t="s">
        <v>491</v>
      </c>
      <c r="L46" s="601" t="s">
        <v>489</v>
      </c>
      <c r="M46" s="602" t="s">
        <v>490</v>
      </c>
      <c r="N46" s="607" t="s">
        <v>225</v>
      </c>
      <c r="O46" s="607"/>
      <c r="P46" s="607" t="s">
        <v>225</v>
      </c>
      <c r="Q46" s="607"/>
      <c r="R46" s="607"/>
      <c r="S46" s="607" t="s">
        <v>225</v>
      </c>
      <c r="T46" s="607" t="s">
        <v>225</v>
      </c>
      <c r="U46" s="607"/>
      <c r="V46" s="607" t="s">
        <v>413</v>
      </c>
      <c r="W46" s="607" t="s">
        <v>413</v>
      </c>
      <c r="X46" s="607"/>
      <c r="Y46" s="607"/>
      <c r="Z46" s="607" t="s">
        <v>225</v>
      </c>
      <c r="AA46" s="607" t="s">
        <v>225</v>
      </c>
      <c r="AB46" s="607"/>
      <c r="AC46" s="607" t="s">
        <v>225</v>
      </c>
      <c r="AD46" s="607" t="s">
        <v>413</v>
      </c>
      <c r="AE46" s="607"/>
      <c r="AF46" s="607"/>
      <c r="AG46" s="607" t="s">
        <v>225</v>
      </c>
      <c r="AH46" s="607" t="s">
        <v>225</v>
      </c>
      <c r="AI46" s="607"/>
      <c r="AJ46" s="607" t="s">
        <v>225</v>
      </c>
      <c r="AK46" s="607"/>
      <c r="AL46" s="607"/>
      <c r="AM46" s="607"/>
      <c r="AN46" s="607" t="s">
        <v>225</v>
      </c>
      <c r="AO46" s="607" t="s">
        <v>225</v>
      </c>
      <c r="AP46" s="607"/>
      <c r="AQ46" s="607" t="s">
        <v>413</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
      </c>
      <c r="G47" s="185"/>
      <c r="H47" s="185"/>
      <c r="I47" s="165" t="b">
        <v>0</v>
      </c>
      <c r="J47" s="580"/>
      <c r="K47" s="600" t="s">
        <v>492</v>
      </c>
      <c r="L47" s="601" t="s">
        <v>489</v>
      </c>
      <c r="M47" s="613"/>
      <c r="N47" s="607"/>
      <c r="O47" s="607" t="s">
        <v>225</v>
      </c>
      <c r="P47" s="607" t="s">
        <v>225</v>
      </c>
      <c r="Q47" s="607" t="s">
        <v>225</v>
      </c>
      <c r="R47" s="607"/>
      <c r="S47" s="607"/>
      <c r="T47" s="607"/>
      <c r="U47" s="607"/>
      <c r="V47" s="607" t="s">
        <v>225</v>
      </c>
      <c r="W47" s="607" t="s">
        <v>225</v>
      </c>
      <c r="X47" s="607" t="s">
        <v>225</v>
      </c>
      <c r="Y47" s="607"/>
      <c r="Z47" s="607"/>
      <c r="AA47" s="607"/>
      <c r="AB47" s="607"/>
      <c r="AC47" s="607" t="s">
        <v>225</v>
      </c>
      <c r="AD47" s="607" t="s">
        <v>225</v>
      </c>
      <c r="AE47" s="607" t="s">
        <v>225</v>
      </c>
      <c r="AF47" s="607"/>
      <c r="AG47" s="607"/>
      <c r="AH47" s="607"/>
      <c r="AI47" s="607"/>
      <c r="AJ47" s="607" t="s">
        <v>225</v>
      </c>
      <c r="AK47" s="607" t="s">
        <v>225</v>
      </c>
      <c r="AL47" s="607" t="s">
        <v>225</v>
      </c>
      <c r="AM47" s="607"/>
      <c r="AN47" s="607"/>
      <c r="AO47" s="607"/>
      <c r="AP47" s="607"/>
      <c r="AQ47" s="607" t="s">
        <v>225</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
      </c>
      <c r="G48" s="185"/>
      <c r="H48" s="185"/>
      <c r="I48" s="165" t="b">
        <v>0</v>
      </c>
      <c r="J48" s="580"/>
      <c r="K48" s="600" t="s">
        <v>493</v>
      </c>
      <c r="L48" s="601" t="s">
        <v>489</v>
      </c>
      <c r="M48" s="613"/>
      <c r="N48" s="607" t="s">
        <v>225</v>
      </c>
      <c r="O48" s="607" t="s">
        <v>225</v>
      </c>
      <c r="P48" s="607" t="s">
        <v>225</v>
      </c>
      <c r="Q48" s="607" t="s">
        <v>225</v>
      </c>
      <c r="R48" s="607" t="s">
        <v>225</v>
      </c>
      <c r="S48" s="607"/>
      <c r="T48" s="607" t="s">
        <v>225</v>
      </c>
      <c r="U48" s="607" t="s">
        <v>225</v>
      </c>
      <c r="V48" s="607" t="s">
        <v>225</v>
      </c>
      <c r="W48" s="607" t="s">
        <v>225</v>
      </c>
      <c r="X48" s="607" t="s">
        <v>225</v>
      </c>
      <c r="Y48" s="607" t="s">
        <v>225</v>
      </c>
      <c r="Z48" s="607"/>
      <c r="AA48" s="607" t="s">
        <v>225</v>
      </c>
      <c r="AB48" s="607" t="s">
        <v>225</v>
      </c>
      <c r="AC48" s="607" t="s">
        <v>225</v>
      </c>
      <c r="AD48" s="607" t="s">
        <v>225</v>
      </c>
      <c r="AE48" s="607" t="s">
        <v>225</v>
      </c>
      <c r="AF48" s="607" t="s">
        <v>225</v>
      </c>
      <c r="AG48" s="607"/>
      <c r="AH48" s="607" t="s">
        <v>225</v>
      </c>
      <c r="AI48" s="607" t="s">
        <v>225</v>
      </c>
      <c r="AJ48" s="607" t="s">
        <v>225</v>
      </c>
      <c r="AK48" s="607" t="s">
        <v>225</v>
      </c>
      <c r="AL48" s="607" t="s">
        <v>225</v>
      </c>
      <c r="AM48" s="607" t="s">
        <v>225</v>
      </c>
      <c r="AN48" s="607"/>
      <c r="AO48" s="607" t="s">
        <v>225</v>
      </c>
      <c r="AP48" s="607" t="s">
        <v>225</v>
      </c>
      <c r="AQ48" s="607" t="s">
        <v>225</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〇</v>
      </c>
      <c r="G49" s="185"/>
      <c r="H49" s="185"/>
      <c r="I49" s="165" t="b">
        <v>0</v>
      </c>
      <c r="J49" s="580"/>
      <c r="K49" s="600" t="s">
        <v>494</v>
      </c>
      <c r="L49" s="601" t="s">
        <v>489</v>
      </c>
      <c r="M49" s="613"/>
      <c r="N49" s="607"/>
      <c r="O49" s="607" t="s">
        <v>225</v>
      </c>
      <c r="P49" s="607" t="s">
        <v>225</v>
      </c>
      <c r="Q49" s="607" t="s">
        <v>225</v>
      </c>
      <c r="R49" s="607" t="s">
        <v>225</v>
      </c>
      <c r="S49" s="607" t="s">
        <v>225</v>
      </c>
      <c r="T49" s="607" t="s">
        <v>225</v>
      </c>
      <c r="U49" s="607"/>
      <c r="V49" s="607" t="s">
        <v>225</v>
      </c>
      <c r="W49" s="607" t="s">
        <v>225</v>
      </c>
      <c r="X49" s="607" t="s">
        <v>225</v>
      </c>
      <c r="Y49" s="607" t="s">
        <v>225</v>
      </c>
      <c r="Z49" s="607" t="s">
        <v>225</v>
      </c>
      <c r="AA49" s="607" t="s">
        <v>225</v>
      </c>
      <c r="AB49" s="607"/>
      <c r="AC49" s="607" t="s">
        <v>225</v>
      </c>
      <c r="AD49" s="607" t="s">
        <v>225</v>
      </c>
      <c r="AE49" s="607" t="s">
        <v>225</v>
      </c>
      <c r="AF49" s="607" t="s">
        <v>225</v>
      </c>
      <c r="AG49" s="607" t="s">
        <v>225</v>
      </c>
      <c r="AH49" s="607" t="s">
        <v>225</v>
      </c>
      <c r="AI49" s="607"/>
      <c r="AJ49" s="607" t="s">
        <v>225</v>
      </c>
      <c r="AK49" s="607" t="s">
        <v>225</v>
      </c>
      <c r="AL49" s="607" t="s">
        <v>225</v>
      </c>
      <c r="AM49" s="607" t="s">
        <v>225</v>
      </c>
      <c r="AN49" s="607" t="s">
        <v>225</v>
      </c>
      <c r="AO49" s="607" t="s">
        <v>225</v>
      </c>
      <c r="AP49" s="607"/>
      <c r="AQ49" s="607" t="s">
        <v>225</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〇</v>
      </c>
      <c r="D50" s="185"/>
      <c r="E50" s="598" t="str">
        <f t="shared" si="20"/>
        <v>ラクシュミ</v>
      </c>
      <c r="F50" s="599" t="str">
        <f t="shared" si="21"/>
        <v>〇</v>
      </c>
      <c r="G50" s="185"/>
      <c r="H50" s="185"/>
      <c r="I50" s="165" t="b">
        <v>0</v>
      </c>
      <c r="J50" s="580"/>
      <c r="K50" s="600" t="s">
        <v>495</v>
      </c>
      <c r="L50" s="601" t="s">
        <v>489</v>
      </c>
      <c r="M50" s="602"/>
      <c r="N50" s="607"/>
      <c r="O50" s="607"/>
      <c r="P50" s="607" t="s">
        <v>225</v>
      </c>
      <c r="Q50" s="607" t="s">
        <v>225</v>
      </c>
      <c r="R50" s="607" t="s">
        <v>225</v>
      </c>
      <c r="S50" s="607" t="s">
        <v>225</v>
      </c>
      <c r="T50" s="607"/>
      <c r="U50" s="607"/>
      <c r="V50" s="607"/>
      <c r="W50" s="607" t="s">
        <v>225</v>
      </c>
      <c r="X50" s="607" t="s">
        <v>225</v>
      </c>
      <c r="Y50" s="607" t="s">
        <v>225</v>
      </c>
      <c r="Z50" s="607" t="s">
        <v>225</v>
      </c>
      <c r="AA50" s="607"/>
      <c r="AB50" s="607"/>
      <c r="AC50" s="607"/>
      <c r="AD50" s="607" t="s">
        <v>225</v>
      </c>
      <c r="AE50" s="607" t="s">
        <v>225</v>
      </c>
      <c r="AF50" s="607" t="s">
        <v>225</v>
      </c>
      <c r="AG50" s="607" t="s">
        <v>225</v>
      </c>
      <c r="AH50" s="607"/>
      <c r="AI50" s="607"/>
      <c r="AJ50" s="607"/>
      <c r="AK50" s="607" t="s">
        <v>225</v>
      </c>
      <c r="AL50" s="607" t="s">
        <v>225</v>
      </c>
      <c r="AM50" s="607" t="s">
        <v>225</v>
      </c>
      <c r="AN50" s="607" t="s">
        <v>225</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00" t="s">
        <v>496</v>
      </c>
      <c r="L51" s="601" t="s">
        <v>489</v>
      </c>
      <c r="M51" s="602"/>
      <c r="N51" s="607" t="s">
        <v>225</v>
      </c>
      <c r="O51" s="607" t="s">
        <v>225</v>
      </c>
      <c r="P51" s="607"/>
      <c r="Q51" s="607"/>
      <c r="R51" s="607" t="s">
        <v>225</v>
      </c>
      <c r="S51" s="607" t="s">
        <v>225</v>
      </c>
      <c r="T51" s="607" t="s">
        <v>225</v>
      </c>
      <c r="U51" s="607" t="s">
        <v>225</v>
      </c>
      <c r="V51" s="607" t="s">
        <v>225</v>
      </c>
      <c r="W51" s="607"/>
      <c r="X51" s="607"/>
      <c r="Y51" s="607" t="s">
        <v>225</v>
      </c>
      <c r="Z51" s="607" t="s">
        <v>225</v>
      </c>
      <c r="AA51" s="607" t="s">
        <v>225</v>
      </c>
      <c r="AB51" s="607" t="s">
        <v>225</v>
      </c>
      <c r="AC51" s="607" t="s">
        <v>225</v>
      </c>
      <c r="AD51" s="607"/>
      <c r="AE51" s="607"/>
      <c r="AF51" s="607" t="s">
        <v>225</v>
      </c>
      <c r="AG51" s="607" t="s">
        <v>225</v>
      </c>
      <c r="AH51" s="607" t="s">
        <v>225</v>
      </c>
      <c r="AI51" s="607" t="s">
        <v>225</v>
      </c>
      <c r="AJ51" s="607" t="s">
        <v>225</v>
      </c>
      <c r="AK51" s="607"/>
      <c r="AL51" s="607"/>
      <c r="AM51" s="607" t="s">
        <v>225</v>
      </c>
      <c r="AN51" s="607" t="s">
        <v>225</v>
      </c>
      <c r="AO51" s="607" t="s">
        <v>225</v>
      </c>
      <c r="AP51" s="607" t="s">
        <v>225</v>
      </c>
      <c r="AQ51" s="607" t="s">
        <v>225</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
      </c>
      <c r="D52" s="185"/>
      <c r="E52" s="598" t="str">
        <f t="shared" si="20"/>
        <v>マガル</v>
      </c>
      <c r="F52" s="599" t="str">
        <f t="shared" si="21"/>
        <v/>
      </c>
      <c r="G52" s="185"/>
      <c r="H52" s="185"/>
      <c r="I52" s="165" t="b">
        <v>0</v>
      </c>
      <c r="J52" s="580"/>
      <c r="K52" s="600" t="s">
        <v>497</v>
      </c>
      <c r="L52" s="601" t="s">
        <v>489</v>
      </c>
      <c r="M52" s="613"/>
      <c r="N52" s="607" t="s">
        <v>225</v>
      </c>
      <c r="O52" s="607" t="s">
        <v>225</v>
      </c>
      <c r="P52" s="607" t="s">
        <v>225</v>
      </c>
      <c r="Q52" s="607" t="s">
        <v>225</v>
      </c>
      <c r="R52" s="607"/>
      <c r="S52" s="607"/>
      <c r="T52" s="607" t="s">
        <v>225</v>
      </c>
      <c r="U52" s="607" t="s">
        <v>225</v>
      </c>
      <c r="V52" s="607" t="s">
        <v>225</v>
      </c>
      <c r="W52" s="607" t="s">
        <v>225</v>
      </c>
      <c r="X52" s="607" t="s">
        <v>225</v>
      </c>
      <c r="Y52" s="607"/>
      <c r="Z52" s="607"/>
      <c r="AA52" s="607" t="s">
        <v>225</v>
      </c>
      <c r="AB52" s="607" t="s">
        <v>225</v>
      </c>
      <c r="AC52" s="607" t="s">
        <v>225</v>
      </c>
      <c r="AD52" s="607" t="s">
        <v>225</v>
      </c>
      <c r="AE52" s="607" t="s">
        <v>225</v>
      </c>
      <c r="AF52" s="607"/>
      <c r="AG52" s="607"/>
      <c r="AH52" s="607" t="s">
        <v>225</v>
      </c>
      <c r="AI52" s="607" t="s">
        <v>225</v>
      </c>
      <c r="AJ52" s="607" t="s">
        <v>225</v>
      </c>
      <c r="AK52" s="607" t="s">
        <v>225</v>
      </c>
      <c r="AL52" s="607" t="s">
        <v>225</v>
      </c>
      <c r="AM52" s="607"/>
      <c r="AN52" s="607"/>
      <c r="AO52" s="607" t="s">
        <v>225</v>
      </c>
      <c r="AP52" s="607" t="s">
        <v>225</v>
      </c>
      <c r="AQ52" s="607" t="s">
        <v>225</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
      </c>
      <c r="G53" s="185"/>
      <c r="H53" s="185"/>
      <c r="I53" s="165" t="b">
        <v>0</v>
      </c>
      <c r="J53" s="580"/>
      <c r="K53" s="600" t="s">
        <v>118</v>
      </c>
      <c r="L53" s="601" t="s">
        <v>489</v>
      </c>
      <c r="M53" s="613"/>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t="s">
        <v>225</v>
      </c>
      <c r="AQ53" s="607" t="s">
        <v>225</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〇</v>
      </c>
      <c r="D54" s="185"/>
      <c r="E54" s="598" t="str">
        <f t="shared" si="20"/>
        <v>ダワ</v>
      </c>
      <c r="F54" s="599" t="str">
        <f t="shared" si="21"/>
        <v/>
      </c>
      <c r="G54" s="185"/>
      <c r="H54" s="185"/>
      <c r="I54" s="165" t="b">
        <v>0</v>
      </c>
      <c r="J54" s="580"/>
      <c r="K54" s="600" t="s">
        <v>498</v>
      </c>
      <c r="L54" s="601" t="s">
        <v>489</v>
      </c>
      <c r="M54" s="613"/>
      <c r="N54" s="607"/>
      <c r="O54" s="607"/>
      <c r="P54" s="607" t="s">
        <v>225</v>
      </c>
      <c r="Q54" s="607" t="s">
        <v>225</v>
      </c>
      <c r="R54" s="607" t="s">
        <v>225</v>
      </c>
      <c r="S54" s="607"/>
      <c r="T54" s="607"/>
      <c r="U54" s="607"/>
      <c r="V54" s="607"/>
      <c r="W54" s="607" t="s">
        <v>225</v>
      </c>
      <c r="X54" s="607" t="s">
        <v>225</v>
      </c>
      <c r="Y54" s="607" t="s">
        <v>225</v>
      </c>
      <c r="Z54" s="607"/>
      <c r="AA54" s="607"/>
      <c r="AB54" s="607"/>
      <c r="AC54" s="607"/>
      <c r="AD54" s="607" t="s">
        <v>225</v>
      </c>
      <c r="AE54" s="607" t="s">
        <v>225</v>
      </c>
      <c r="AF54" s="607" t="s">
        <v>225</v>
      </c>
      <c r="AG54" s="607"/>
      <c r="AH54" s="607"/>
      <c r="AI54" s="607"/>
      <c r="AJ54" s="607"/>
      <c r="AK54" s="607" t="s">
        <v>225</v>
      </c>
      <c r="AL54" s="607" t="s">
        <v>225</v>
      </c>
      <c r="AM54" s="607" t="s">
        <v>225</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211</v>
      </c>
      <c r="L55" s="601" t="s">
        <v>489</v>
      </c>
      <c r="M55" s="613"/>
      <c r="N55" s="607" t="s">
        <v>225</v>
      </c>
      <c r="O55" s="607" t="s">
        <v>225</v>
      </c>
      <c r="P55" s="607" t="s">
        <v>225</v>
      </c>
      <c r="Q55" s="607"/>
      <c r="R55" s="607" t="s">
        <v>225</v>
      </c>
      <c r="S55" s="607" t="s">
        <v>225</v>
      </c>
      <c r="T55" s="607" t="s">
        <v>225</v>
      </c>
      <c r="U55" s="607" t="s">
        <v>225</v>
      </c>
      <c r="V55" s="607" t="s">
        <v>225</v>
      </c>
      <c r="W55" s="607" t="s">
        <v>225</v>
      </c>
      <c r="X55" s="607"/>
      <c r="Y55" s="607" t="s">
        <v>225</v>
      </c>
      <c r="Z55" s="607" t="s">
        <v>225</v>
      </c>
      <c r="AA55" s="607" t="s">
        <v>225</v>
      </c>
      <c r="AB55" s="607" t="s">
        <v>225</v>
      </c>
      <c r="AC55" s="607" t="s">
        <v>225</v>
      </c>
      <c r="AD55" s="607" t="s">
        <v>225</v>
      </c>
      <c r="AE55" s="607" t="s">
        <v>225</v>
      </c>
      <c r="AF55" s="607"/>
      <c r="AG55" s="607" t="s">
        <v>225</v>
      </c>
      <c r="AH55" s="607" t="s">
        <v>225</v>
      </c>
      <c r="AI55" s="607" t="s">
        <v>225</v>
      </c>
      <c r="AJ55" s="607" t="s">
        <v>225</v>
      </c>
      <c r="AK55" s="607" t="s">
        <v>225</v>
      </c>
      <c r="AL55" s="607"/>
      <c r="AM55" s="607" t="s">
        <v>225</v>
      </c>
      <c r="AN55" s="607" t="s">
        <v>225</v>
      </c>
      <c r="AO55" s="607" t="s">
        <v>225</v>
      </c>
      <c r="AP55" s="607" t="s">
        <v>225</v>
      </c>
      <c r="AQ55" s="607" t="s">
        <v>225</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〇</v>
      </c>
      <c r="D56" s="185"/>
      <c r="E56" s="598" t="str">
        <f t="shared" si="20"/>
        <v>ゴパル</v>
      </c>
      <c r="F56" s="599" t="str">
        <f t="shared" si="21"/>
        <v/>
      </c>
      <c r="G56" s="185"/>
      <c r="H56" s="185"/>
      <c r="I56" s="165" t="b">
        <v>0</v>
      </c>
      <c r="J56" s="580"/>
      <c r="K56" s="600" t="s">
        <v>499</v>
      </c>
      <c r="L56" s="601" t="s">
        <v>489</v>
      </c>
      <c r="M56" s="613"/>
      <c r="N56" s="607"/>
      <c r="O56" s="607"/>
      <c r="P56" s="607"/>
      <c r="Q56" s="607" t="s">
        <v>225</v>
      </c>
      <c r="R56" s="607" t="s">
        <v>225</v>
      </c>
      <c r="S56" s="607"/>
      <c r="T56" s="607"/>
      <c r="U56" s="607"/>
      <c r="V56" s="607"/>
      <c r="W56" s="607"/>
      <c r="X56" s="607" t="s">
        <v>225</v>
      </c>
      <c r="Y56" s="607" t="s">
        <v>225</v>
      </c>
      <c r="Z56" s="607"/>
      <c r="AA56" s="607"/>
      <c r="AB56" s="607"/>
      <c r="AC56" s="607"/>
      <c r="AD56" s="607"/>
      <c r="AE56" s="607" t="s">
        <v>225</v>
      </c>
      <c r="AF56" s="607" t="s">
        <v>225</v>
      </c>
      <c r="AG56" s="607"/>
      <c r="AH56" s="607"/>
      <c r="AI56" s="607"/>
      <c r="AJ56" s="607"/>
      <c r="AK56" s="607"/>
      <c r="AL56" s="607" t="s">
        <v>225</v>
      </c>
      <c r="AM56" s="607" t="s">
        <v>225</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
      </c>
      <c r="D57" s="185"/>
      <c r="E57" s="598" t="str">
        <f t="shared" si="20"/>
        <v>二ロズ</v>
      </c>
      <c r="F57" s="599" t="str">
        <f t="shared" si="21"/>
        <v/>
      </c>
      <c r="G57" s="185"/>
      <c r="H57" s="185"/>
      <c r="I57" s="165" t="b">
        <v>0</v>
      </c>
      <c r="J57" s="580"/>
      <c r="K57" s="600" t="s">
        <v>500</v>
      </c>
      <c r="L57" s="601" t="s">
        <v>489</v>
      </c>
      <c r="M57" s="613"/>
      <c r="N57" s="607" t="s">
        <v>225</v>
      </c>
      <c r="O57" s="607" t="s">
        <v>225</v>
      </c>
      <c r="P57" s="607"/>
      <c r="Q57" s="607"/>
      <c r="R57" s="607"/>
      <c r="S57" s="607"/>
      <c r="T57" s="607" t="s">
        <v>225</v>
      </c>
      <c r="U57" s="607" t="s">
        <v>225</v>
      </c>
      <c r="V57" s="607" t="s">
        <v>225</v>
      </c>
      <c r="W57" s="607"/>
      <c r="X57" s="607"/>
      <c r="Y57" s="607"/>
      <c r="Z57" s="607"/>
      <c r="AA57" s="607" t="s">
        <v>225</v>
      </c>
      <c r="AB57" s="607" t="s">
        <v>225</v>
      </c>
      <c r="AC57" s="607" t="s">
        <v>225</v>
      </c>
      <c r="AD57" s="607"/>
      <c r="AE57" s="607"/>
      <c r="AF57" s="607"/>
      <c r="AG57" s="607"/>
      <c r="AH57" s="607" t="s">
        <v>225</v>
      </c>
      <c r="AI57" s="607" t="s">
        <v>225</v>
      </c>
      <c r="AJ57" s="607" t="s">
        <v>225</v>
      </c>
      <c r="AK57" s="607"/>
      <c r="AL57" s="607"/>
      <c r="AM57" s="607"/>
      <c r="AN57" s="607"/>
      <c r="AO57" s="607" t="s">
        <v>225</v>
      </c>
      <c r="AP57" s="607" t="s">
        <v>225</v>
      </c>
      <c r="AQ57" s="607" t="s">
        <v>225</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
      </c>
      <c r="G58" s="185"/>
      <c r="H58" s="185"/>
      <c r="I58" s="165" t="b">
        <v>0</v>
      </c>
      <c r="J58" s="580"/>
      <c r="K58" s="600" t="s">
        <v>501</v>
      </c>
      <c r="L58" s="601" t="s">
        <v>489</v>
      </c>
      <c r="M58" s="613"/>
      <c r="N58" s="607" t="s">
        <v>225</v>
      </c>
      <c r="O58" s="607" t="s">
        <v>430</v>
      </c>
      <c r="P58" s="607" t="s">
        <v>225</v>
      </c>
      <c r="Q58" s="607" t="s">
        <v>225</v>
      </c>
      <c r="R58" s="607" t="s">
        <v>225</v>
      </c>
      <c r="S58" s="607"/>
      <c r="T58" s="607"/>
      <c r="U58" s="607" t="s">
        <v>225</v>
      </c>
      <c r="V58" s="607" t="s">
        <v>225</v>
      </c>
      <c r="W58" s="607" t="s">
        <v>225</v>
      </c>
      <c r="X58" s="607" t="s">
        <v>225</v>
      </c>
      <c r="Y58" s="607" t="s">
        <v>225</v>
      </c>
      <c r="Z58" s="607"/>
      <c r="AA58" s="607"/>
      <c r="AB58" s="607" t="s">
        <v>225</v>
      </c>
      <c r="AC58" s="607" t="s">
        <v>225</v>
      </c>
      <c r="AD58" s="607" t="s">
        <v>225</v>
      </c>
      <c r="AE58" s="607" t="s">
        <v>225</v>
      </c>
      <c r="AF58" s="607" t="s">
        <v>225</v>
      </c>
      <c r="AG58" s="607"/>
      <c r="AH58" s="607"/>
      <c r="AI58" s="607" t="s">
        <v>225</v>
      </c>
      <c r="AJ58" s="607" t="s">
        <v>225</v>
      </c>
      <c r="AK58" s="607" t="s">
        <v>225</v>
      </c>
      <c r="AL58" s="607" t="s">
        <v>225</v>
      </c>
      <c r="AM58" s="607" t="s">
        <v>225</v>
      </c>
      <c r="AN58" s="607"/>
      <c r="AO58" s="607"/>
      <c r="AP58" s="607" t="s">
        <v>225</v>
      </c>
      <c r="AQ58" s="607" t="s">
        <v>225</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〇</v>
      </c>
      <c r="D59" s="185"/>
      <c r="E59" s="598" t="str">
        <f t="shared" si="20"/>
        <v>ラマ</v>
      </c>
      <c r="F59" s="599" t="str">
        <f t="shared" si="21"/>
        <v>〇</v>
      </c>
      <c r="G59" s="185"/>
      <c r="H59" s="185"/>
      <c r="I59" s="165" t="b">
        <v>0</v>
      </c>
      <c r="J59" s="580"/>
      <c r="K59" s="600" t="s">
        <v>502</v>
      </c>
      <c r="L59" s="601" t="s">
        <v>489</v>
      </c>
      <c r="M59" s="613"/>
      <c r="N59" s="607"/>
      <c r="O59" s="607"/>
      <c r="P59" s="607"/>
      <c r="Q59" s="607"/>
      <c r="R59" s="607" t="s">
        <v>225</v>
      </c>
      <c r="S59" s="607" t="s">
        <v>225</v>
      </c>
      <c r="T59" s="607" t="s">
        <v>225</v>
      </c>
      <c r="U59" s="607"/>
      <c r="V59" s="607"/>
      <c r="W59" s="607" t="s">
        <v>225</v>
      </c>
      <c r="X59" s="607"/>
      <c r="Y59" s="607" t="s">
        <v>225</v>
      </c>
      <c r="Z59" s="607" t="s">
        <v>225</v>
      </c>
      <c r="AA59" s="607" t="s">
        <v>225</v>
      </c>
      <c r="AB59" s="607"/>
      <c r="AC59" s="607"/>
      <c r="AD59" s="607" t="s">
        <v>225</v>
      </c>
      <c r="AE59" s="607"/>
      <c r="AF59" s="607" t="s">
        <v>225</v>
      </c>
      <c r="AG59" s="607" t="s">
        <v>225</v>
      </c>
      <c r="AH59" s="607" t="s">
        <v>225</v>
      </c>
      <c r="AI59" s="607"/>
      <c r="AJ59" s="607"/>
      <c r="AK59" s="607" t="s">
        <v>225</v>
      </c>
      <c r="AL59" s="607"/>
      <c r="AM59" s="607" t="s">
        <v>225</v>
      </c>
      <c r="AN59" s="607" t="s">
        <v>225</v>
      </c>
      <c r="AO59" s="607" t="s">
        <v>225</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00" t="s">
        <v>503</v>
      </c>
      <c r="L60" s="601" t="s">
        <v>489</v>
      </c>
      <c r="M60" s="613"/>
      <c r="N60" s="607"/>
      <c r="O60" s="607" t="s">
        <v>225</v>
      </c>
      <c r="P60" s="607"/>
      <c r="Q60" s="607"/>
      <c r="R60" s="607" t="s">
        <v>225</v>
      </c>
      <c r="S60" s="607" t="s">
        <v>225</v>
      </c>
      <c r="T60" s="607" t="s">
        <v>225</v>
      </c>
      <c r="U60" s="607"/>
      <c r="V60" s="607" t="s">
        <v>225</v>
      </c>
      <c r="W60" s="607" t="s">
        <v>225</v>
      </c>
      <c r="X60" s="607" t="s">
        <v>225</v>
      </c>
      <c r="Y60" s="607" t="s">
        <v>225</v>
      </c>
      <c r="Z60" s="607" t="s">
        <v>225</v>
      </c>
      <c r="AA60" s="607" t="s">
        <v>225</v>
      </c>
      <c r="AB60" s="607"/>
      <c r="AC60" s="607" t="s">
        <v>225</v>
      </c>
      <c r="AD60" s="607" t="s">
        <v>225</v>
      </c>
      <c r="AE60" s="607" t="s">
        <v>225</v>
      </c>
      <c r="AF60" s="607" t="s">
        <v>225</v>
      </c>
      <c r="AG60" s="607" t="s">
        <v>225</v>
      </c>
      <c r="AH60" s="607" t="s">
        <v>225</v>
      </c>
      <c r="AI60" s="607"/>
      <c r="AJ60" s="607" t="s">
        <v>225</v>
      </c>
      <c r="AK60" s="607" t="s">
        <v>225</v>
      </c>
      <c r="AL60" s="607" t="s">
        <v>225</v>
      </c>
      <c r="AM60" s="607" t="s">
        <v>225</v>
      </c>
      <c r="AN60" s="607" t="s">
        <v>225</v>
      </c>
      <c r="AO60" s="607" t="s">
        <v>225</v>
      </c>
      <c r="AP60" s="607"/>
      <c r="AQ60" s="607" t="s">
        <v>225</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504</v>
      </c>
      <c r="L61" s="621" t="s">
        <v>489</v>
      </c>
      <c r="M61" s="622" t="s">
        <v>505</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
      </c>
      <c r="D62" s="185"/>
      <c r="E62" s="598" t="str">
        <f t="shared" si="20"/>
        <v>ムクタ</v>
      </c>
      <c r="F62" s="599" t="str">
        <f t="shared" si="21"/>
        <v/>
      </c>
      <c r="G62" s="185"/>
      <c r="H62" s="185"/>
      <c r="I62" s="165" t="b">
        <v>0</v>
      </c>
      <c r="J62" s="580"/>
      <c r="K62" s="600" t="s">
        <v>506</v>
      </c>
      <c r="L62" s="601" t="s">
        <v>489</v>
      </c>
      <c r="M62" s="613"/>
      <c r="N62" s="607" t="s">
        <v>225</v>
      </c>
      <c r="O62" s="603"/>
      <c r="P62" s="607" t="s">
        <v>225</v>
      </c>
      <c r="Q62" s="603"/>
      <c r="R62" s="607"/>
      <c r="S62" s="607" t="s">
        <v>225</v>
      </c>
      <c r="T62" s="607" t="s">
        <v>225</v>
      </c>
      <c r="U62" s="607" t="s">
        <v>225</v>
      </c>
      <c r="V62" s="607"/>
      <c r="W62" s="607" t="s">
        <v>225</v>
      </c>
      <c r="X62" s="607"/>
      <c r="Y62" s="607"/>
      <c r="Z62" s="607"/>
      <c r="AA62" s="607"/>
      <c r="AB62" s="607"/>
      <c r="AC62" s="607" t="s">
        <v>225</v>
      </c>
      <c r="AD62" s="607" t="s">
        <v>225</v>
      </c>
      <c r="AE62" s="607"/>
      <c r="AF62" s="607"/>
      <c r="AG62" s="607"/>
      <c r="AH62" s="607"/>
      <c r="AI62" s="603"/>
      <c r="AJ62" s="607" t="s">
        <v>225</v>
      </c>
      <c r="AK62" s="607" t="s">
        <v>225</v>
      </c>
      <c r="AL62" s="607"/>
      <c r="AM62" s="607"/>
      <c r="AN62" s="607"/>
      <c r="AO62" s="607"/>
      <c r="AP62" s="603"/>
      <c r="AQ62" s="607" t="s">
        <v>225</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〇</v>
      </c>
      <c r="D63" s="185"/>
      <c r="E63" s="598" t="str">
        <f t="shared" si="20"/>
        <v>ティラタ</v>
      </c>
      <c r="F63" s="599" t="str">
        <f t="shared" si="21"/>
        <v>〇</v>
      </c>
      <c r="G63" s="185"/>
      <c r="H63" s="185"/>
      <c r="I63" s="165" t="b">
        <v>0</v>
      </c>
      <c r="J63" s="580"/>
      <c r="K63" s="600" t="s">
        <v>507</v>
      </c>
      <c r="L63" s="601" t="s">
        <v>489</v>
      </c>
      <c r="M63" s="613"/>
      <c r="N63" s="607"/>
      <c r="O63" s="607"/>
      <c r="P63" s="607" t="s">
        <v>225</v>
      </c>
      <c r="Q63" s="607" t="s">
        <v>225</v>
      </c>
      <c r="R63" s="607" t="s">
        <v>225</v>
      </c>
      <c r="S63" s="607" t="s">
        <v>225</v>
      </c>
      <c r="T63" s="607"/>
      <c r="U63" s="607"/>
      <c r="V63" s="607"/>
      <c r="W63" s="607" t="s">
        <v>225</v>
      </c>
      <c r="X63" s="607" t="s">
        <v>225</v>
      </c>
      <c r="Y63" s="607" t="s">
        <v>225</v>
      </c>
      <c r="Z63" s="607" t="s">
        <v>225</v>
      </c>
      <c r="AA63" s="607"/>
      <c r="AB63" s="607"/>
      <c r="AC63" s="607"/>
      <c r="AD63" s="607" t="s">
        <v>225</v>
      </c>
      <c r="AE63" s="607" t="s">
        <v>225</v>
      </c>
      <c r="AF63" s="607" t="s">
        <v>225</v>
      </c>
      <c r="AG63" s="607" t="s">
        <v>225</v>
      </c>
      <c r="AH63" s="607"/>
      <c r="AI63" s="607"/>
      <c r="AJ63" s="607"/>
      <c r="AK63" s="607" t="s">
        <v>225</v>
      </c>
      <c r="AL63" s="607" t="s">
        <v>225</v>
      </c>
      <c r="AM63" s="607" t="s">
        <v>225</v>
      </c>
      <c r="AN63" s="607" t="s">
        <v>225</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00" t="s">
        <v>508</v>
      </c>
      <c r="L64" s="601" t="s">
        <v>489</v>
      </c>
      <c r="M64" s="613"/>
      <c r="N64" s="607"/>
      <c r="O64" s="607" t="s">
        <v>225</v>
      </c>
      <c r="P64" s="607" t="s">
        <v>225</v>
      </c>
      <c r="Q64" s="607" t="s">
        <v>225</v>
      </c>
      <c r="R64" s="607" t="s">
        <v>225</v>
      </c>
      <c r="S64" s="607" t="s">
        <v>225</v>
      </c>
      <c r="T64" s="607" t="s">
        <v>225</v>
      </c>
      <c r="U64" s="607"/>
      <c r="V64" s="607" t="s">
        <v>225</v>
      </c>
      <c r="W64" s="607" t="s">
        <v>225</v>
      </c>
      <c r="X64" s="607" t="s">
        <v>225</v>
      </c>
      <c r="Y64" s="607" t="s">
        <v>225</v>
      </c>
      <c r="Z64" s="607" t="s">
        <v>225</v>
      </c>
      <c r="AA64" s="607" t="s">
        <v>225</v>
      </c>
      <c r="AB64" s="607"/>
      <c r="AC64" s="607" t="s">
        <v>225</v>
      </c>
      <c r="AD64" s="607" t="s">
        <v>225</v>
      </c>
      <c r="AE64" s="607" t="s">
        <v>225</v>
      </c>
      <c r="AF64" s="607" t="s">
        <v>225</v>
      </c>
      <c r="AG64" s="607" t="s">
        <v>225</v>
      </c>
      <c r="AH64" s="607" t="s">
        <v>225</v>
      </c>
      <c r="AI64" s="607"/>
      <c r="AJ64" s="607" t="s">
        <v>225</v>
      </c>
      <c r="AK64" s="607" t="s">
        <v>225</v>
      </c>
      <c r="AL64" s="607" t="s">
        <v>225</v>
      </c>
      <c r="AM64" s="607" t="s">
        <v>225</v>
      </c>
      <c r="AN64" s="607" t="s">
        <v>225</v>
      </c>
      <c r="AO64" s="607" t="s">
        <v>225</v>
      </c>
      <c r="AP64" s="607"/>
      <c r="AQ64" s="607" t="s">
        <v>225</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
      </c>
      <c r="D65" s="185"/>
      <c r="E65" s="598" t="str">
        <f t="shared" si="20"/>
        <v>バハドル</v>
      </c>
      <c r="F65" s="599" t="str">
        <f t="shared" si="21"/>
        <v/>
      </c>
      <c r="G65" s="185"/>
      <c r="H65" s="185"/>
      <c r="I65" s="165" t="b">
        <v>0</v>
      </c>
      <c r="J65" s="580"/>
      <c r="K65" s="600" t="s">
        <v>174</v>
      </c>
      <c r="L65" s="601" t="s">
        <v>489</v>
      </c>
      <c r="M65" s="613"/>
      <c r="N65" s="607" t="s">
        <v>225</v>
      </c>
      <c r="O65" s="607" t="s">
        <v>225</v>
      </c>
      <c r="P65" s="607" t="s">
        <v>225</v>
      </c>
      <c r="Q65" s="607"/>
      <c r="R65" s="607"/>
      <c r="S65" s="607"/>
      <c r="T65" s="607" t="s">
        <v>225</v>
      </c>
      <c r="U65" s="607" t="s">
        <v>225</v>
      </c>
      <c r="V65" s="607" t="s">
        <v>225</v>
      </c>
      <c r="W65" s="607" t="s">
        <v>225</v>
      </c>
      <c r="X65" s="607"/>
      <c r="Y65" s="607"/>
      <c r="Z65" s="607"/>
      <c r="AA65" s="607" t="s">
        <v>225</v>
      </c>
      <c r="AB65" s="607" t="s">
        <v>225</v>
      </c>
      <c r="AC65" s="607" t="s">
        <v>225</v>
      </c>
      <c r="AD65" s="607" t="s">
        <v>225</v>
      </c>
      <c r="AE65" s="607"/>
      <c r="AF65" s="607"/>
      <c r="AG65" s="607"/>
      <c r="AH65" s="607" t="s">
        <v>225</v>
      </c>
      <c r="AI65" s="607" t="s">
        <v>225</v>
      </c>
      <c r="AJ65" s="607" t="s">
        <v>225</v>
      </c>
      <c r="AK65" s="607" t="s">
        <v>225</v>
      </c>
      <c r="AL65" s="607"/>
      <c r="AM65" s="607"/>
      <c r="AN65" s="607"/>
      <c r="AO65" s="607" t="s">
        <v>225</v>
      </c>
      <c r="AP65" s="607" t="s">
        <v>430</v>
      </c>
      <c r="AQ65" s="607" t="s">
        <v>225</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〇</v>
      </c>
      <c r="G66" s="185"/>
      <c r="H66" s="185"/>
      <c r="I66" s="165" t="b">
        <v>0</v>
      </c>
      <c r="J66" s="580"/>
      <c r="K66" s="600" t="s">
        <v>162</v>
      </c>
      <c r="L66" s="601" t="s">
        <v>489</v>
      </c>
      <c r="M66" s="613"/>
      <c r="N66" s="607" t="s">
        <v>225</v>
      </c>
      <c r="O66" s="607"/>
      <c r="P66" s="607" t="s">
        <v>225</v>
      </c>
      <c r="Q66" s="607" t="s">
        <v>225</v>
      </c>
      <c r="R66" s="607" t="s">
        <v>225</v>
      </c>
      <c r="S66" s="607" t="s">
        <v>225</v>
      </c>
      <c r="T66" s="607" t="s">
        <v>225</v>
      </c>
      <c r="U66" s="607" t="s">
        <v>225</v>
      </c>
      <c r="V66" s="607"/>
      <c r="W66" s="607" t="s">
        <v>225</v>
      </c>
      <c r="X66" s="607" t="s">
        <v>225</v>
      </c>
      <c r="Y66" s="607" t="s">
        <v>225</v>
      </c>
      <c r="Z66" s="607" t="s">
        <v>225</v>
      </c>
      <c r="AA66" s="607" t="s">
        <v>225</v>
      </c>
      <c r="AB66" s="607" t="s">
        <v>225</v>
      </c>
      <c r="AC66" s="607"/>
      <c r="AD66" s="607" t="s">
        <v>225</v>
      </c>
      <c r="AE66" s="607" t="s">
        <v>225</v>
      </c>
      <c r="AF66" s="607" t="s">
        <v>225</v>
      </c>
      <c r="AG66" s="607" t="s">
        <v>225</v>
      </c>
      <c r="AH66" s="607" t="s">
        <v>225</v>
      </c>
      <c r="AI66" s="607" t="s">
        <v>225</v>
      </c>
      <c r="AJ66" s="607"/>
      <c r="AK66" s="607" t="s">
        <v>225</v>
      </c>
      <c r="AL66" s="607" t="s">
        <v>225</v>
      </c>
      <c r="AM66" s="607" t="s">
        <v>225</v>
      </c>
      <c r="AN66" s="607" t="s">
        <v>225</v>
      </c>
      <c r="AO66" s="607" t="s">
        <v>225</v>
      </c>
      <c r="AP66" s="607" t="s">
        <v>225</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〇</v>
      </c>
      <c r="D67" s="185"/>
      <c r="E67" s="598" t="str">
        <f t="shared" si="20"/>
        <v>スシミタ</v>
      </c>
      <c r="F67" s="599" t="str">
        <f t="shared" si="21"/>
        <v>〇</v>
      </c>
      <c r="G67" s="185"/>
      <c r="H67" s="185"/>
      <c r="I67" s="165" t="b">
        <v>0</v>
      </c>
      <c r="J67" s="580"/>
      <c r="K67" s="600" t="s">
        <v>509</v>
      </c>
      <c r="L67" s="601" t="s">
        <v>489</v>
      </c>
      <c r="M67" s="602"/>
      <c r="N67" s="607"/>
      <c r="O67" s="607"/>
      <c r="P67" s="607"/>
      <c r="Q67" s="607" t="s">
        <v>225</v>
      </c>
      <c r="R67" s="607" t="s">
        <v>225</v>
      </c>
      <c r="S67" s="607" t="s">
        <v>225</v>
      </c>
      <c r="T67" s="607"/>
      <c r="U67" s="607"/>
      <c r="V67" s="607"/>
      <c r="W67" s="607"/>
      <c r="X67" s="607" t="s">
        <v>225</v>
      </c>
      <c r="Y67" s="607" t="s">
        <v>225</v>
      </c>
      <c r="Z67" s="607" t="s">
        <v>225</v>
      </c>
      <c r="AA67" s="607"/>
      <c r="AB67" s="607"/>
      <c r="AC67" s="607"/>
      <c r="AD67" s="607"/>
      <c r="AE67" s="607" t="s">
        <v>225</v>
      </c>
      <c r="AF67" s="607" t="s">
        <v>225</v>
      </c>
      <c r="AG67" s="607" t="s">
        <v>225</v>
      </c>
      <c r="AH67" s="607"/>
      <c r="AI67" s="607"/>
      <c r="AJ67" s="607"/>
      <c r="AK67" s="607"/>
      <c r="AL67" s="607" t="s">
        <v>225</v>
      </c>
      <c r="AM67" s="607" t="s">
        <v>225</v>
      </c>
      <c r="AN67" s="607" t="s">
        <v>225</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帰</v>
      </c>
      <c r="D68" s="185"/>
      <c r="E68" s="598" t="str">
        <f t="shared" si="20"/>
        <v>アニタ</v>
      </c>
      <c r="F68" s="599" t="str">
        <f t="shared" si="21"/>
        <v/>
      </c>
      <c r="G68" s="185"/>
      <c r="H68" s="185"/>
      <c r="I68" s="165" t="b">
        <v>0</v>
      </c>
      <c r="J68" s="580"/>
      <c r="K68" s="600" t="s">
        <v>510</v>
      </c>
      <c r="L68" s="601" t="s">
        <v>489</v>
      </c>
      <c r="M68" s="602" t="s">
        <v>511</v>
      </c>
      <c r="N68" s="607" t="s">
        <v>225</v>
      </c>
      <c r="O68" s="607"/>
      <c r="P68" s="607" t="s">
        <v>225</v>
      </c>
      <c r="Q68" s="607" t="s">
        <v>225</v>
      </c>
      <c r="R68" s="607"/>
      <c r="S68" s="607" t="s">
        <v>225</v>
      </c>
      <c r="T68" s="607" t="s">
        <v>225</v>
      </c>
      <c r="U68" s="607" t="s">
        <v>225</v>
      </c>
      <c r="V68" s="607"/>
      <c r="W68" s="607" t="s">
        <v>225</v>
      </c>
      <c r="X68" s="607" t="s">
        <v>225</v>
      </c>
      <c r="Y68" s="607" t="s">
        <v>512</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513</v>
      </c>
      <c r="L69" s="601" t="s">
        <v>489</v>
      </c>
      <c r="M69" s="613"/>
      <c r="N69" s="607" t="s">
        <v>225</v>
      </c>
      <c r="O69" s="607" t="s">
        <v>225</v>
      </c>
      <c r="P69" s="607"/>
      <c r="Q69" s="607" t="s">
        <v>225</v>
      </c>
      <c r="R69" s="607" t="s">
        <v>225</v>
      </c>
      <c r="S69" s="607" t="s">
        <v>225</v>
      </c>
      <c r="T69" s="607" t="s">
        <v>225</v>
      </c>
      <c r="U69" s="607" t="s">
        <v>225</v>
      </c>
      <c r="V69" s="607" t="s">
        <v>225</v>
      </c>
      <c r="W69" s="607"/>
      <c r="X69" s="607" t="s">
        <v>225</v>
      </c>
      <c r="Y69" s="607" t="s">
        <v>225</v>
      </c>
      <c r="Z69" s="607" t="s">
        <v>225</v>
      </c>
      <c r="AA69" s="607" t="s">
        <v>225</v>
      </c>
      <c r="AB69" s="607" t="s">
        <v>225</v>
      </c>
      <c r="AC69" s="607" t="s">
        <v>225</v>
      </c>
      <c r="AD69" s="607"/>
      <c r="AE69" s="607" t="s">
        <v>225</v>
      </c>
      <c r="AF69" s="607" t="s">
        <v>225</v>
      </c>
      <c r="AG69" s="607" t="s">
        <v>225</v>
      </c>
      <c r="AH69" s="607" t="s">
        <v>225</v>
      </c>
      <c r="AI69" s="607" t="s">
        <v>225</v>
      </c>
      <c r="AJ69" s="607" t="s">
        <v>225</v>
      </c>
      <c r="AK69" s="607"/>
      <c r="AL69" s="607" t="s">
        <v>225</v>
      </c>
      <c r="AM69" s="607" t="s">
        <v>225</v>
      </c>
      <c r="AN69" s="607" t="s">
        <v>225</v>
      </c>
      <c r="AO69" s="607" t="s">
        <v>225</v>
      </c>
      <c r="AP69" s="607" t="s">
        <v>225</v>
      </c>
      <c r="AQ69" s="607" t="s">
        <v>225</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共</v>
      </c>
      <c r="D70" s="185"/>
      <c r="E70" s="598" t="str">
        <f t="shared" si="20"/>
        <v>チティザ</v>
      </c>
      <c r="F70" s="599" t="str">
        <f t="shared" si="21"/>
        <v>〇</v>
      </c>
      <c r="G70" s="185"/>
      <c r="H70" s="185"/>
      <c r="I70" s="165" t="b">
        <v>0</v>
      </c>
      <c r="J70" s="580"/>
      <c r="K70" s="600" t="s">
        <v>514</v>
      </c>
      <c r="L70" s="601" t="s">
        <v>489</v>
      </c>
      <c r="M70" s="602" t="s">
        <v>490</v>
      </c>
      <c r="N70" s="607" t="s">
        <v>225</v>
      </c>
      <c r="O70" s="607" t="s">
        <v>225</v>
      </c>
      <c r="P70" s="607" t="s">
        <v>225</v>
      </c>
      <c r="Q70" s="607" t="s">
        <v>225</v>
      </c>
      <c r="R70" s="607" t="s">
        <v>225</v>
      </c>
      <c r="S70" s="607" t="s">
        <v>225</v>
      </c>
      <c r="T70" s="607"/>
      <c r="U70" s="607" t="s">
        <v>225</v>
      </c>
      <c r="V70" s="607" t="s">
        <v>225</v>
      </c>
      <c r="W70" s="607" t="s">
        <v>225</v>
      </c>
      <c r="X70" s="607" t="s">
        <v>225</v>
      </c>
      <c r="Y70" s="607" t="s">
        <v>413</v>
      </c>
      <c r="Z70" s="607" t="s">
        <v>225</v>
      </c>
      <c r="AA70" s="607"/>
      <c r="AB70" s="607" t="s">
        <v>225</v>
      </c>
      <c r="AC70" s="607" t="s">
        <v>225</v>
      </c>
      <c r="AD70" s="607" t="s">
        <v>225</v>
      </c>
      <c r="AE70" s="607" t="s">
        <v>225</v>
      </c>
      <c r="AF70" s="607" t="s">
        <v>225</v>
      </c>
      <c r="AG70" s="607" t="s">
        <v>225</v>
      </c>
      <c r="AH70" s="607"/>
      <c r="AI70" s="607" t="s">
        <v>225</v>
      </c>
      <c r="AJ70" s="607" t="s">
        <v>225</v>
      </c>
      <c r="AK70" s="607" t="s">
        <v>225</v>
      </c>
      <c r="AL70" s="607" t="s">
        <v>225</v>
      </c>
      <c r="AM70" s="607" t="s">
        <v>225</v>
      </c>
      <c r="AN70" s="607" t="s">
        <v>225</v>
      </c>
      <c r="AO70" s="607"/>
      <c r="AP70" s="607" t="s">
        <v>225</v>
      </c>
      <c r="AQ70" s="607" t="s">
        <v>225</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〇</v>
      </c>
      <c r="D71" s="185"/>
      <c r="E71" s="598" t="str">
        <f t="shared" si="20"/>
        <v>リジャル</v>
      </c>
      <c r="F71" s="599" t="str">
        <f t="shared" si="21"/>
        <v>〇</v>
      </c>
      <c r="G71" s="185"/>
      <c r="H71" s="185"/>
      <c r="I71" s="165" t="b">
        <v>0</v>
      </c>
      <c r="J71" s="580"/>
      <c r="K71" s="600" t="s">
        <v>112</v>
      </c>
      <c r="L71" s="601" t="s">
        <v>489</v>
      </c>
      <c r="M71" s="613"/>
      <c r="N71" s="607"/>
      <c r="O71" s="607" t="s">
        <v>225</v>
      </c>
      <c r="P71" s="607"/>
      <c r="Q71" s="603"/>
      <c r="R71" s="607" t="s">
        <v>225</v>
      </c>
      <c r="S71" s="607" t="s">
        <v>225</v>
      </c>
      <c r="T71" s="607" t="s">
        <v>225</v>
      </c>
      <c r="U71" s="607"/>
      <c r="V71" s="607" t="s">
        <v>225</v>
      </c>
      <c r="W71" s="607"/>
      <c r="X71" s="607" t="s">
        <v>225</v>
      </c>
      <c r="Y71" s="607" t="s">
        <v>225</v>
      </c>
      <c r="Z71" s="607" t="s">
        <v>225</v>
      </c>
      <c r="AA71" s="607" t="s">
        <v>225</v>
      </c>
      <c r="AB71" s="607"/>
      <c r="AC71" s="607" t="s">
        <v>225</v>
      </c>
      <c r="AD71" s="607"/>
      <c r="AE71" s="607"/>
      <c r="AF71" s="607"/>
      <c r="AG71" s="607" t="s">
        <v>225</v>
      </c>
      <c r="AH71" s="607" t="s">
        <v>225</v>
      </c>
      <c r="AI71" s="607"/>
      <c r="AJ71" s="607" t="s">
        <v>225</v>
      </c>
      <c r="AK71" s="607"/>
      <c r="AL71" s="603"/>
      <c r="AM71" s="607"/>
      <c r="AN71" s="607" t="s">
        <v>225</v>
      </c>
      <c r="AO71" s="607" t="s">
        <v>225</v>
      </c>
      <c r="AP71" s="607"/>
      <c r="AQ71" s="607" t="s">
        <v>225</v>
      </c>
      <c r="AR71" s="608">
        <f t="array" ref="AR71">SUM(COUNTIF(N71:AQ71, {"◎","〇","☆","共","特","浴"}))</f>
        <v>16</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〇</v>
      </c>
      <c r="D72" s="185"/>
      <c r="E72" s="598" t="str">
        <f t="shared" si="20"/>
        <v>プン</v>
      </c>
      <c r="F72" s="599" t="str">
        <f t="shared" si="21"/>
        <v>〇</v>
      </c>
      <c r="G72" s="185"/>
      <c r="H72" s="185"/>
      <c r="I72" s="165" t="b">
        <v>0</v>
      </c>
      <c r="J72" s="580"/>
      <c r="K72" s="600" t="s">
        <v>515</v>
      </c>
      <c r="L72" s="601" t="s">
        <v>489</v>
      </c>
      <c r="M72" s="613"/>
      <c r="N72" s="607"/>
      <c r="O72" s="607"/>
      <c r="P72" s="607" t="s">
        <v>225</v>
      </c>
      <c r="Q72" s="607" t="s">
        <v>225</v>
      </c>
      <c r="R72" s="607" t="s">
        <v>225</v>
      </c>
      <c r="S72" s="607" t="s">
        <v>225</v>
      </c>
      <c r="T72" s="607"/>
      <c r="U72" s="607"/>
      <c r="V72" s="607"/>
      <c r="W72" s="607" t="s">
        <v>225</v>
      </c>
      <c r="X72" s="607" t="s">
        <v>225</v>
      </c>
      <c r="Y72" s="607" t="s">
        <v>225</v>
      </c>
      <c r="Z72" s="607" t="s">
        <v>225</v>
      </c>
      <c r="AA72" s="607"/>
      <c r="AB72" s="607"/>
      <c r="AC72" s="607"/>
      <c r="AD72" s="607" t="s">
        <v>225</v>
      </c>
      <c r="AE72" s="607" t="s">
        <v>225</v>
      </c>
      <c r="AF72" s="607" t="s">
        <v>225</v>
      </c>
      <c r="AG72" s="607" t="s">
        <v>225</v>
      </c>
      <c r="AH72" s="607"/>
      <c r="AI72" s="607"/>
      <c r="AJ72" s="607"/>
      <c r="AK72" s="607" t="s">
        <v>225</v>
      </c>
      <c r="AL72" s="607" t="s">
        <v>225</v>
      </c>
      <c r="AM72" s="607" t="s">
        <v>225</v>
      </c>
      <c r="AN72" s="607" t="s">
        <v>225</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
      </c>
      <c r="D73" s="185"/>
      <c r="E73" s="598" t="str">
        <f t="shared" si="20"/>
        <v>グルンガ</v>
      </c>
      <c r="F73" s="599" t="str">
        <f t="shared" si="21"/>
        <v/>
      </c>
      <c r="G73" s="185"/>
      <c r="H73" s="185"/>
      <c r="I73" s="165" t="b">
        <v>0</v>
      </c>
      <c r="J73" s="580"/>
      <c r="K73" s="600" t="s">
        <v>516</v>
      </c>
      <c r="L73" s="601" t="s">
        <v>489</v>
      </c>
      <c r="M73" s="613"/>
      <c r="N73" s="607" t="s">
        <v>225</v>
      </c>
      <c r="O73" s="607"/>
      <c r="P73" s="607" t="s">
        <v>225</v>
      </c>
      <c r="Q73" s="607"/>
      <c r="R73" s="607"/>
      <c r="S73" s="607"/>
      <c r="T73" s="607" t="s">
        <v>225</v>
      </c>
      <c r="U73" s="607" t="s">
        <v>225</v>
      </c>
      <c r="V73" s="607"/>
      <c r="W73" s="607" t="s">
        <v>225</v>
      </c>
      <c r="X73" s="607"/>
      <c r="Y73" s="607"/>
      <c r="Z73" s="607"/>
      <c r="AA73" s="607" t="s">
        <v>225</v>
      </c>
      <c r="AB73" s="607" t="s">
        <v>225</v>
      </c>
      <c r="AC73" s="607"/>
      <c r="AD73" s="607" t="s">
        <v>225</v>
      </c>
      <c r="AE73" s="607"/>
      <c r="AF73" s="607"/>
      <c r="AG73" s="607"/>
      <c r="AH73" s="607" t="s">
        <v>225</v>
      </c>
      <c r="AI73" s="607" t="s">
        <v>225</v>
      </c>
      <c r="AJ73" s="607"/>
      <c r="AK73" s="607" t="s">
        <v>225</v>
      </c>
      <c r="AL73" s="607"/>
      <c r="AM73" s="607"/>
      <c r="AN73" s="607"/>
      <c r="AO73" s="607" t="s">
        <v>225</v>
      </c>
      <c r="AP73" s="607" t="s">
        <v>225</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〇</v>
      </c>
      <c r="D74" s="185"/>
      <c r="E74" s="598" t="str">
        <f t="shared" si="20"/>
        <v>スレスタ</v>
      </c>
      <c r="F74" s="599" t="str">
        <f t="shared" si="21"/>
        <v>〇</v>
      </c>
      <c r="G74" s="185"/>
      <c r="H74" s="185"/>
      <c r="I74" s="165" t="b">
        <v>0</v>
      </c>
      <c r="J74" s="580"/>
      <c r="K74" s="600" t="s">
        <v>168</v>
      </c>
      <c r="L74" s="601" t="s">
        <v>489</v>
      </c>
      <c r="M74" s="613"/>
      <c r="N74" s="607"/>
      <c r="O74" s="607" t="s">
        <v>225</v>
      </c>
      <c r="P74" s="607" t="s">
        <v>225</v>
      </c>
      <c r="Q74" s="607"/>
      <c r="R74" s="607" t="s">
        <v>225</v>
      </c>
      <c r="S74" s="607" t="s">
        <v>413</v>
      </c>
      <c r="T74" s="607"/>
      <c r="U74" s="607"/>
      <c r="V74" s="607" t="s">
        <v>225</v>
      </c>
      <c r="W74" s="607" t="s">
        <v>225</v>
      </c>
      <c r="X74" s="607"/>
      <c r="Y74" s="607" t="s">
        <v>225</v>
      </c>
      <c r="Z74" s="607" t="s">
        <v>225</v>
      </c>
      <c r="AA74" s="607"/>
      <c r="AB74" s="607"/>
      <c r="AC74" s="607" t="s">
        <v>225</v>
      </c>
      <c r="AD74" s="607" t="s">
        <v>225</v>
      </c>
      <c r="AE74" s="607"/>
      <c r="AF74" s="607" t="s">
        <v>225</v>
      </c>
      <c r="AG74" s="607" t="s">
        <v>225</v>
      </c>
      <c r="AH74" s="607"/>
      <c r="AI74" s="607"/>
      <c r="AJ74" s="607" t="s">
        <v>225</v>
      </c>
      <c r="AK74" s="607" t="s">
        <v>225</v>
      </c>
      <c r="AL74" s="607"/>
      <c r="AM74" s="607" t="s">
        <v>225</v>
      </c>
      <c r="AN74" s="607" t="s">
        <v>225</v>
      </c>
      <c r="AO74" s="607"/>
      <c r="AP74" s="607"/>
      <c r="AQ74" s="607" t="s">
        <v>225</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〇</v>
      </c>
      <c r="D75" s="185"/>
      <c r="E75" s="598" t="str">
        <f t="shared" si="20"/>
        <v>ジャムナ</v>
      </c>
      <c r="F75" s="599" t="str">
        <f t="shared" si="21"/>
        <v>〇</v>
      </c>
      <c r="G75" s="185"/>
      <c r="H75" s="185"/>
      <c r="I75" s="165" t="b">
        <v>0</v>
      </c>
      <c r="J75" s="580"/>
      <c r="K75" s="600" t="s">
        <v>517</v>
      </c>
      <c r="L75" s="601" t="s">
        <v>489</v>
      </c>
      <c r="M75" s="613"/>
      <c r="N75" s="607"/>
      <c r="O75" s="607"/>
      <c r="P75" s="607"/>
      <c r="Q75" s="607" t="s">
        <v>225</v>
      </c>
      <c r="R75" s="607" t="s">
        <v>225</v>
      </c>
      <c r="S75" s="607" t="s">
        <v>225</v>
      </c>
      <c r="T75" s="607"/>
      <c r="U75" s="607"/>
      <c r="V75" s="607"/>
      <c r="W75" s="607"/>
      <c r="X75" s="607" t="s">
        <v>225</v>
      </c>
      <c r="Y75" s="607" t="s">
        <v>225</v>
      </c>
      <c r="Z75" s="607" t="s">
        <v>225</v>
      </c>
      <c r="AA75" s="607"/>
      <c r="AB75" s="607"/>
      <c r="AC75" s="607"/>
      <c r="AD75" s="607"/>
      <c r="AE75" s="607" t="s">
        <v>225</v>
      </c>
      <c r="AF75" s="607" t="s">
        <v>225</v>
      </c>
      <c r="AG75" s="607" t="s">
        <v>225</v>
      </c>
      <c r="AH75" s="607"/>
      <c r="AI75" s="607"/>
      <c r="AJ75" s="607"/>
      <c r="AK75" s="607"/>
      <c r="AL75" s="607" t="s">
        <v>225</v>
      </c>
      <c r="AM75" s="607" t="s">
        <v>225</v>
      </c>
      <c r="AN75" s="607" t="s">
        <v>225</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
      </c>
      <c r="D76" s="185"/>
      <c r="E76" s="598" t="str">
        <f t="shared" si="20"/>
        <v>アルジュン</v>
      </c>
      <c r="F76" s="599" t="str">
        <f t="shared" si="21"/>
        <v>〇</v>
      </c>
      <c r="G76" s="185"/>
      <c r="H76" s="185"/>
      <c r="I76" s="165" t="b">
        <v>0</v>
      </c>
      <c r="J76" s="580"/>
      <c r="K76" s="600" t="s">
        <v>132</v>
      </c>
      <c r="L76" s="601" t="s">
        <v>489</v>
      </c>
      <c r="M76" s="613"/>
      <c r="N76" s="607" t="s">
        <v>225</v>
      </c>
      <c r="O76" s="607"/>
      <c r="P76" s="607"/>
      <c r="Q76" s="607"/>
      <c r="R76" s="607"/>
      <c r="S76" s="607" t="s">
        <v>225</v>
      </c>
      <c r="T76" s="607" t="s">
        <v>225</v>
      </c>
      <c r="U76" s="607" t="s">
        <v>225</v>
      </c>
      <c r="V76" s="607"/>
      <c r="W76" s="607"/>
      <c r="X76" s="607"/>
      <c r="Y76" s="607"/>
      <c r="Z76" s="607" t="s">
        <v>225</v>
      </c>
      <c r="AA76" s="607" t="s">
        <v>225</v>
      </c>
      <c r="AB76" s="607" t="s">
        <v>225</v>
      </c>
      <c r="AC76" s="607"/>
      <c r="AD76" s="607"/>
      <c r="AE76" s="607"/>
      <c r="AF76" s="607"/>
      <c r="AG76" s="607" t="s">
        <v>225</v>
      </c>
      <c r="AH76" s="607" t="s">
        <v>225</v>
      </c>
      <c r="AI76" s="607" t="s">
        <v>225</v>
      </c>
      <c r="AJ76" s="607"/>
      <c r="AK76" s="607"/>
      <c r="AL76" s="607"/>
      <c r="AM76" s="607"/>
      <c r="AN76" s="607" t="s">
        <v>225</v>
      </c>
      <c r="AO76" s="607" t="s">
        <v>225</v>
      </c>
      <c r="AP76" s="607" t="s">
        <v>225</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
      </c>
      <c r="D77" s="185"/>
      <c r="E77" s="598" t="str">
        <f t="shared" si="20"/>
        <v>ギリ</v>
      </c>
      <c r="F77" s="599" t="str">
        <f t="shared" si="21"/>
        <v>〇</v>
      </c>
      <c r="G77" s="185"/>
      <c r="H77" s="185"/>
      <c r="I77" s="165" t="b">
        <v>0</v>
      </c>
      <c r="J77" s="580"/>
      <c r="K77" s="600" t="s">
        <v>140</v>
      </c>
      <c r="L77" s="601" t="s">
        <v>489</v>
      </c>
      <c r="M77" s="613"/>
      <c r="N77" s="607" t="s">
        <v>225</v>
      </c>
      <c r="O77" s="607" t="s">
        <v>225</v>
      </c>
      <c r="P77" s="607" t="s">
        <v>225</v>
      </c>
      <c r="Q77" s="607" t="s">
        <v>225</v>
      </c>
      <c r="R77" s="607"/>
      <c r="S77" s="607" t="s">
        <v>225</v>
      </c>
      <c r="T77" s="607" t="s">
        <v>225</v>
      </c>
      <c r="U77" s="607" t="s">
        <v>225</v>
      </c>
      <c r="V77" s="607" t="s">
        <v>225</v>
      </c>
      <c r="W77" s="607" t="s">
        <v>225</v>
      </c>
      <c r="X77" s="607" t="s">
        <v>225</v>
      </c>
      <c r="Y77" s="607"/>
      <c r="Z77" s="607" t="s">
        <v>225</v>
      </c>
      <c r="AA77" s="607" t="s">
        <v>225</v>
      </c>
      <c r="AB77" s="607" t="s">
        <v>225</v>
      </c>
      <c r="AC77" s="607" t="s">
        <v>225</v>
      </c>
      <c r="AD77" s="607" t="s">
        <v>225</v>
      </c>
      <c r="AE77" s="607" t="s">
        <v>225</v>
      </c>
      <c r="AF77" s="607"/>
      <c r="AG77" s="607" t="s">
        <v>225</v>
      </c>
      <c r="AH77" s="607" t="s">
        <v>225</v>
      </c>
      <c r="AI77" s="607" t="s">
        <v>225</v>
      </c>
      <c r="AJ77" s="607" t="s">
        <v>225</v>
      </c>
      <c r="AK77" s="607" t="s">
        <v>225</v>
      </c>
      <c r="AL77" s="607" t="s">
        <v>225</v>
      </c>
      <c r="AM77" s="607"/>
      <c r="AN77" s="607" t="s">
        <v>225</v>
      </c>
      <c r="AO77" s="607" t="s">
        <v>225</v>
      </c>
      <c r="AP77" s="607" t="s">
        <v>225</v>
      </c>
      <c r="AQ77" s="607" t="s">
        <v>225</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489</v>
      </c>
      <c r="M78" s="602" t="s">
        <v>490</v>
      </c>
      <c r="N78" s="607" t="s">
        <v>225</v>
      </c>
      <c r="O78" s="607" t="s">
        <v>225</v>
      </c>
      <c r="P78" s="607" t="s">
        <v>225</v>
      </c>
      <c r="Q78" s="607" t="s">
        <v>225</v>
      </c>
      <c r="R78" s="607" t="s">
        <v>225</v>
      </c>
      <c r="S78" s="607" t="s">
        <v>225</v>
      </c>
      <c r="T78" s="607"/>
      <c r="U78" s="607" t="s">
        <v>225</v>
      </c>
      <c r="V78" s="607" t="s">
        <v>225</v>
      </c>
      <c r="W78" s="607" t="s">
        <v>225</v>
      </c>
      <c r="X78" s="607" t="s">
        <v>225</v>
      </c>
      <c r="Y78" s="607" t="s">
        <v>225</v>
      </c>
      <c r="Z78" s="607" t="s">
        <v>225</v>
      </c>
      <c r="AA78" s="607"/>
      <c r="AB78" s="607" t="s">
        <v>225</v>
      </c>
      <c r="AC78" s="607" t="s">
        <v>225</v>
      </c>
      <c r="AD78" s="607" t="s">
        <v>225</v>
      </c>
      <c r="AE78" s="607" t="s">
        <v>225</v>
      </c>
      <c r="AF78" s="607" t="s">
        <v>225</v>
      </c>
      <c r="AG78" s="607" t="s">
        <v>225</v>
      </c>
      <c r="AH78" s="607"/>
      <c r="AI78" s="607" t="s">
        <v>225</v>
      </c>
      <c r="AJ78" s="607" t="s">
        <v>225</v>
      </c>
      <c r="AK78" s="607" t="s">
        <v>225</v>
      </c>
      <c r="AL78" s="607" t="s">
        <v>225</v>
      </c>
      <c r="AM78" s="607" t="s">
        <v>225</v>
      </c>
      <c r="AN78" s="607" t="s">
        <v>225</v>
      </c>
      <c r="AO78" s="607"/>
      <c r="AP78" s="607" t="s">
        <v>225</v>
      </c>
      <c r="AQ78" s="607" t="s">
        <v>225</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
      </c>
      <c r="D79" s="185"/>
      <c r="E79" s="598" t="str">
        <f t="shared" si="20"/>
        <v>リタ</v>
      </c>
      <c r="F79" s="599" t="str">
        <f t="shared" si="21"/>
        <v>〇</v>
      </c>
      <c r="G79" s="185"/>
      <c r="H79" s="185"/>
      <c r="I79" s="165" t="b">
        <v>0</v>
      </c>
      <c r="J79" s="580"/>
      <c r="K79" s="600" t="s">
        <v>518</v>
      </c>
      <c r="L79" s="601" t="s">
        <v>489</v>
      </c>
      <c r="M79" s="613"/>
      <c r="N79" s="607" t="s">
        <v>225</v>
      </c>
      <c r="O79" s="607" t="s">
        <v>225</v>
      </c>
      <c r="P79" s="607" t="s">
        <v>225</v>
      </c>
      <c r="Q79" s="607" t="s">
        <v>225</v>
      </c>
      <c r="R79" s="607"/>
      <c r="S79" s="607" t="s">
        <v>225</v>
      </c>
      <c r="T79" s="607"/>
      <c r="U79" s="607" t="s">
        <v>225</v>
      </c>
      <c r="V79" s="607" t="s">
        <v>225</v>
      </c>
      <c r="W79" s="607" t="s">
        <v>225</v>
      </c>
      <c r="X79" s="607" t="s">
        <v>225</v>
      </c>
      <c r="Y79" s="607"/>
      <c r="Z79" s="607" t="s">
        <v>225</v>
      </c>
      <c r="AA79" s="607"/>
      <c r="AB79" s="607" t="s">
        <v>225</v>
      </c>
      <c r="AC79" s="607" t="s">
        <v>225</v>
      </c>
      <c r="AD79" s="607" t="s">
        <v>225</v>
      </c>
      <c r="AE79" s="607" t="s">
        <v>225</v>
      </c>
      <c r="AF79" s="607"/>
      <c r="AG79" s="607" t="s">
        <v>225</v>
      </c>
      <c r="AH79" s="607"/>
      <c r="AI79" s="607" t="s">
        <v>225</v>
      </c>
      <c r="AJ79" s="607" t="s">
        <v>225</v>
      </c>
      <c r="AK79" s="607" t="s">
        <v>225</v>
      </c>
      <c r="AL79" s="607" t="s">
        <v>225</v>
      </c>
      <c r="AM79" s="607"/>
      <c r="AN79" s="607" t="s">
        <v>225</v>
      </c>
      <c r="AO79" s="607"/>
      <c r="AP79" s="607" t="s">
        <v>225</v>
      </c>
      <c r="AQ79" s="607" t="s">
        <v>225</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〇</v>
      </c>
      <c r="D80" s="185"/>
      <c r="E80" s="598" t="str">
        <f t="shared" si="20"/>
        <v>アンザナ</v>
      </c>
      <c r="F80" s="599" t="str">
        <f t="shared" si="21"/>
        <v>〇</v>
      </c>
      <c r="G80" s="185"/>
      <c r="H80" s="185"/>
      <c r="I80" s="165" t="b">
        <v>0</v>
      </c>
      <c r="J80" s="580"/>
      <c r="K80" s="600" t="s">
        <v>205</v>
      </c>
      <c r="L80" s="601" t="s">
        <v>489</v>
      </c>
      <c r="M80" s="613"/>
      <c r="N80" s="607"/>
      <c r="O80" s="607" t="s">
        <v>225</v>
      </c>
      <c r="P80" s="607"/>
      <c r="Q80" s="607"/>
      <c r="R80" s="607" t="s">
        <v>225</v>
      </c>
      <c r="S80" s="607" t="s">
        <v>225</v>
      </c>
      <c r="T80" s="607"/>
      <c r="U80" s="607"/>
      <c r="V80" s="607" t="s">
        <v>225</v>
      </c>
      <c r="W80" s="607"/>
      <c r="X80" s="607"/>
      <c r="Y80" s="607" t="s">
        <v>225</v>
      </c>
      <c r="Z80" s="607" t="s">
        <v>225</v>
      </c>
      <c r="AA80" s="607"/>
      <c r="AB80" s="607"/>
      <c r="AC80" s="607" t="s">
        <v>225</v>
      </c>
      <c r="AD80" s="607"/>
      <c r="AE80" s="607"/>
      <c r="AF80" s="607" t="s">
        <v>225</v>
      </c>
      <c r="AG80" s="607" t="s">
        <v>225</v>
      </c>
      <c r="AH80" s="607"/>
      <c r="AI80" s="607"/>
      <c r="AJ80" s="607" t="s">
        <v>225</v>
      </c>
      <c r="AK80" s="607"/>
      <c r="AL80" s="607"/>
      <c r="AM80" s="607" t="s">
        <v>225</v>
      </c>
      <c r="AN80" s="607" t="s">
        <v>225</v>
      </c>
      <c r="AO80" s="607"/>
      <c r="AP80" s="607"/>
      <c r="AQ80" s="607" t="s">
        <v>225</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
      </c>
      <c r="G81" s="185"/>
      <c r="H81" s="185"/>
      <c r="I81" s="165" t="b">
        <v>0</v>
      </c>
      <c r="J81" s="580"/>
      <c r="K81" s="600" t="s">
        <v>188</v>
      </c>
      <c r="L81" s="601" t="s">
        <v>489</v>
      </c>
      <c r="M81" s="613"/>
      <c r="N81" s="607" t="s">
        <v>225</v>
      </c>
      <c r="O81" s="607" t="s">
        <v>225</v>
      </c>
      <c r="P81" s="607"/>
      <c r="Q81" s="607"/>
      <c r="R81" s="607"/>
      <c r="S81" s="607" t="s">
        <v>225</v>
      </c>
      <c r="T81" s="607"/>
      <c r="U81" s="607" t="s">
        <v>225</v>
      </c>
      <c r="V81" s="607" t="s">
        <v>225</v>
      </c>
      <c r="W81" s="607" t="s">
        <v>487</v>
      </c>
      <c r="X81" s="607"/>
      <c r="Y81" s="607"/>
      <c r="Z81" s="607"/>
      <c r="AA81" s="607"/>
      <c r="AB81" s="607"/>
      <c r="AC81" s="607"/>
      <c r="AD81" s="607"/>
      <c r="AE81" s="607"/>
      <c r="AF81" s="607"/>
      <c r="AG81" s="607"/>
      <c r="AH81" s="607"/>
      <c r="AI81" s="607"/>
      <c r="AJ81" s="607"/>
      <c r="AK81" s="607"/>
      <c r="AL81" s="607"/>
      <c r="AM81" s="607"/>
      <c r="AN81" s="607"/>
      <c r="AO81" s="607"/>
      <c r="AP81" s="607"/>
      <c r="AQ81" s="607"/>
      <c r="AR81" s="608">
        <f t="array" ref="AR81">SUM(COUNTIF(N81:AQ81, {"◎","〇","☆","共","特","浴"}))</f>
        <v>5</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〇</v>
      </c>
      <c r="G82" s="185"/>
      <c r="H82" s="185"/>
      <c r="I82" s="165" t="b">
        <v>0</v>
      </c>
      <c r="J82" s="580"/>
      <c r="K82" s="600" t="s">
        <v>519</v>
      </c>
      <c r="L82" s="601" t="s">
        <v>489</v>
      </c>
      <c r="M82" s="613"/>
      <c r="N82" s="607" t="s">
        <v>225</v>
      </c>
      <c r="O82" s="607"/>
      <c r="P82" s="607" t="s">
        <v>225</v>
      </c>
      <c r="Q82" s="607" t="s">
        <v>225</v>
      </c>
      <c r="R82" s="607"/>
      <c r="S82" s="607" t="s">
        <v>225</v>
      </c>
      <c r="T82" s="607"/>
      <c r="U82" s="607" t="s">
        <v>225</v>
      </c>
      <c r="V82" s="607"/>
      <c r="W82" s="607" t="s">
        <v>225</v>
      </c>
      <c r="X82" s="607" t="s">
        <v>225</v>
      </c>
      <c r="Y82" s="607" t="s">
        <v>225</v>
      </c>
      <c r="Z82" s="607" t="s">
        <v>225</v>
      </c>
      <c r="AA82" s="607"/>
      <c r="AB82" s="607" t="s">
        <v>225</v>
      </c>
      <c r="AC82" s="607"/>
      <c r="AD82" s="607" t="s">
        <v>225</v>
      </c>
      <c r="AE82" s="607" t="s">
        <v>225</v>
      </c>
      <c r="AF82" s="607" t="s">
        <v>225</v>
      </c>
      <c r="AG82" s="607" t="s">
        <v>225</v>
      </c>
      <c r="AH82" s="607"/>
      <c r="AI82" s="607" t="s">
        <v>225</v>
      </c>
      <c r="AJ82" s="607"/>
      <c r="AK82" s="607" t="s">
        <v>225</v>
      </c>
      <c r="AL82" s="607" t="s">
        <v>225</v>
      </c>
      <c r="AM82" s="607" t="s">
        <v>225</v>
      </c>
      <c r="AN82" s="607" t="s">
        <v>225</v>
      </c>
      <c r="AO82" s="607"/>
      <c r="AP82" s="607" t="s">
        <v>225</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520</v>
      </c>
      <c r="L83" s="601" t="s">
        <v>521</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522</v>
      </c>
      <c r="L84" s="601" t="s">
        <v>521</v>
      </c>
      <c r="M84" s="613"/>
      <c r="N84" s="607"/>
      <c r="O84" s="607"/>
      <c r="P84" s="607" t="s">
        <v>225</v>
      </c>
      <c r="Q84" s="607"/>
      <c r="R84" s="607" t="s">
        <v>225</v>
      </c>
      <c r="S84" s="607" t="s">
        <v>225</v>
      </c>
      <c r="T84" s="607" t="s">
        <v>487</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〇</v>
      </c>
      <c r="D85" s="185"/>
      <c r="E85" s="598" t="str">
        <f t="shared" si="20"/>
        <v>マヤ</v>
      </c>
      <c r="F85" s="599" t="str">
        <f t="shared" si="21"/>
        <v>〇</v>
      </c>
      <c r="G85" s="185"/>
      <c r="H85" s="185"/>
      <c r="I85" s="165" t="b">
        <v>0</v>
      </c>
      <c r="J85" s="580"/>
      <c r="K85" s="600" t="s">
        <v>523</v>
      </c>
      <c r="L85" s="601" t="s">
        <v>521</v>
      </c>
      <c r="M85" s="613"/>
      <c r="N85" s="607"/>
      <c r="O85" s="607"/>
      <c r="P85" s="607"/>
      <c r="Q85" s="607"/>
      <c r="R85" s="607" t="s">
        <v>225</v>
      </c>
      <c r="S85" s="607" t="s">
        <v>225</v>
      </c>
      <c r="T85" s="607" t="s">
        <v>225</v>
      </c>
      <c r="U85" s="607"/>
      <c r="V85" s="607"/>
      <c r="W85" s="607"/>
      <c r="X85" s="607"/>
      <c r="Y85" s="607" t="s">
        <v>225</v>
      </c>
      <c r="Z85" s="607" t="s">
        <v>225</v>
      </c>
      <c r="AA85" s="607" t="s">
        <v>225</v>
      </c>
      <c r="AB85" s="607"/>
      <c r="AC85" s="607"/>
      <c r="AD85" s="607"/>
      <c r="AE85" s="607"/>
      <c r="AF85" s="607" t="s">
        <v>225</v>
      </c>
      <c r="AG85" s="607" t="s">
        <v>225</v>
      </c>
      <c r="AH85" s="607" t="s">
        <v>225</v>
      </c>
      <c r="AI85" s="607"/>
      <c r="AJ85" s="607"/>
      <c r="AK85" s="607"/>
      <c r="AL85" s="607"/>
      <c r="AM85" s="607" t="s">
        <v>225</v>
      </c>
      <c r="AN85" s="607" t="s">
        <v>225</v>
      </c>
      <c r="AO85" s="607" t="s">
        <v>225</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
      </c>
      <c r="D86" s="185"/>
      <c r="E86" s="598" t="str">
        <f t="shared" si="20"/>
        <v>サリナ</v>
      </c>
      <c r="F86" s="599" t="str">
        <f t="shared" si="21"/>
        <v/>
      </c>
      <c r="G86" s="185"/>
      <c r="H86" s="185"/>
      <c r="I86" s="165" t="b">
        <v>0</v>
      </c>
      <c r="J86" s="580"/>
      <c r="K86" s="600" t="s">
        <v>524</v>
      </c>
      <c r="L86" s="601" t="s">
        <v>521</v>
      </c>
      <c r="M86" s="613"/>
      <c r="N86" s="607"/>
      <c r="O86" s="607"/>
      <c r="P86" s="607" t="s">
        <v>225</v>
      </c>
      <c r="Q86" s="607"/>
      <c r="R86" s="607"/>
      <c r="S86" s="607"/>
      <c r="T86" s="607" t="s">
        <v>225</v>
      </c>
      <c r="U86" s="607" t="s">
        <v>225</v>
      </c>
      <c r="V86" s="607" t="s">
        <v>225</v>
      </c>
      <c r="W86" s="607"/>
      <c r="X86" s="607"/>
      <c r="Y86" s="607"/>
      <c r="Z86" s="607"/>
      <c r="AA86" s="607" t="s">
        <v>225</v>
      </c>
      <c r="AB86" s="607" t="s">
        <v>225</v>
      </c>
      <c r="AC86" s="607" t="s">
        <v>225</v>
      </c>
      <c r="AD86" s="607"/>
      <c r="AE86" s="607"/>
      <c r="AF86" s="607"/>
      <c r="AG86" s="607"/>
      <c r="AH86" s="607" t="s">
        <v>225</v>
      </c>
      <c r="AI86" s="607" t="s">
        <v>225</v>
      </c>
      <c r="AJ86" s="607" t="s">
        <v>225</v>
      </c>
      <c r="AK86" s="607"/>
      <c r="AL86" s="607"/>
      <c r="AM86" s="607"/>
      <c r="AN86" s="607"/>
      <c r="AO86" s="607" t="s">
        <v>225</v>
      </c>
      <c r="AP86" s="607" t="s">
        <v>225</v>
      </c>
      <c r="AQ86" s="607" t="s">
        <v>225</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
      </c>
      <c r="D87" s="185"/>
      <c r="E87" s="598" t="str">
        <f t="shared" si="20"/>
        <v>プナム</v>
      </c>
      <c r="F87" s="599" t="str">
        <f t="shared" si="21"/>
        <v/>
      </c>
      <c r="G87" s="185"/>
      <c r="H87" s="185"/>
      <c r="I87" s="165" t="b">
        <v>0</v>
      </c>
      <c r="J87" s="580"/>
      <c r="K87" s="600" t="s">
        <v>525</v>
      </c>
      <c r="L87" s="601" t="s">
        <v>521</v>
      </c>
      <c r="M87" s="602"/>
      <c r="N87" s="607"/>
      <c r="O87" s="607"/>
      <c r="P87" s="607" t="s">
        <v>225</v>
      </c>
      <c r="Q87" s="607" t="s">
        <v>413</v>
      </c>
      <c r="R87" s="607"/>
      <c r="S87" s="607"/>
      <c r="T87" s="607" t="s">
        <v>225</v>
      </c>
      <c r="U87" s="607" t="s">
        <v>225</v>
      </c>
      <c r="V87" s="607"/>
      <c r="W87" s="607" t="s">
        <v>225</v>
      </c>
      <c r="X87" s="607"/>
      <c r="Y87" s="607"/>
      <c r="Z87" s="607"/>
      <c r="AA87" s="607" t="s">
        <v>225</v>
      </c>
      <c r="AB87" s="607" t="s">
        <v>225</v>
      </c>
      <c r="AC87" s="607"/>
      <c r="AD87" s="607" t="s">
        <v>225</v>
      </c>
      <c r="AE87" s="607"/>
      <c r="AF87" s="607"/>
      <c r="AG87" s="607"/>
      <c r="AH87" s="607" t="s">
        <v>225</v>
      </c>
      <c r="AI87" s="607" t="s">
        <v>225</v>
      </c>
      <c r="AJ87" s="607"/>
      <c r="AK87" s="607" t="s">
        <v>225</v>
      </c>
      <c r="AL87" s="607"/>
      <c r="AM87" s="607"/>
      <c r="AN87" s="607"/>
      <c r="AO87" s="607" t="s">
        <v>225</v>
      </c>
      <c r="AP87" s="607" t="s">
        <v>225</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532</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46113.0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4</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550</v>
      </c>
      <c r="G9" s="702" t="s">
        <v>551</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552</v>
      </c>
      <c r="G19" s="719" t="s">
        <v>553</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550</v>
      </c>
      <c r="G20" s="727" t="s">
        <v>554</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552</v>
      </c>
      <c r="G30" s="737" t="s">
        <v>555</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556</v>
      </c>
      <c r="G31" s="744" t="s">
        <v>557</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552</v>
      </c>
      <c r="G41" s="719" t="s">
        <v>558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550</v>
      </c>
      <c r="G42" s="753" t="s">
        <v>559</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552</v>
      </c>
      <c r="G52" s="737" t="s">
        <v>560</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550</v>
      </c>
      <c r="G53" s="744" t="s">
        <v>561</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552</v>
      </c>
      <c r="G63" s="719" t="s">
        <v>562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550</v>
      </c>
      <c r="G65" s="753" t="s">
        <v>564</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552</v>
      </c>
      <c r="G75" s="737" t="s">
        <v>565</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556</v>
      </c>
      <c r="G76" s="744" t="s">
        <v>566</v>
      </c>
      <c r="H76" s="745">
        <v>1.0</v>
      </c>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customHeight="1" outlineLevel="1">
      <c r="A86" s="640"/>
      <c r="B86" s="717"/>
      <c r="C86" s="676"/>
      <c r="D86" s="676"/>
      <c r="E86" s="676"/>
      <c r="F86" s="718" t="s">
        <v>552</v>
      </c>
      <c r="G86" s="719" t="s">
        <v>567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550</v>
      </c>
      <c r="G87" s="753" t="s">
        <v>568</v>
      </c>
      <c r="H87" s="754"/>
      <c r="I87" s="755">
        <v>0.6458333333333334</v>
      </c>
      <c r="J87" s="754">
        <v>19.0</v>
      </c>
      <c r="K87" s="754">
        <v>5.0</v>
      </c>
      <c r="L87" s="733"/>
      <c r="M87" s="733"/>
      <c r="N87" s="752">
        <v>293.0</v>
      </c>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customHeight="1" outlineLevel="1">
      <c r="A97" s="640"/>
      <c r="B97" s="717"/>
      <c r="C97" s="676"/>
      <c r="D97" s="676"/>
      <c r="E97" s="676"/>
      <c r="F97" s="736" t="s">
        <v>552</v>
      </c>
      <c r="G97" s="737" t="s">
        <v>569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556</v>
      </c>
      <c r="G98" s="744" t="s">
        <v>570</v>
      </c>
      <c r="H98" s="745"/>
      <c r="I98" s="746">
        <v>0.6458333333333334</v>
      </c>
      <c r="J98" s="745">
        <v>26.0</v>
      </c>
      <c r="K98" s="745">
        <v>6.0</v>
      </c>
      <c r="L98" s="747"/>
      <c r="M98" s="747"/>
      <c r="N98" s="743">
        <v>299.0</v>
      </c>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customHeight="1" outlineLevel="1">
      <c r="A108" s="640"/>
      <c r="B108" s="717"/>
      <c r="C108" s="676"/>
      <c r="D108" s="676"/>
      <c r="E108" s="676"/>
      <c r="F108" s="718" t="s">
        <v>552</v>
      </c>
      <c r="G108" s="719" t="s">
        <v>571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550</v>
      </c>
      <c r="G109" s="753" t="s">
        <v>572</v>
      </c>
      <c r="H109" s="754"/>
      <c r="I109" s="755">
        <v>0.6458333333333334</v>
      </c>
      <c r="J109" s="754">
        <v>25.0</v>
      </c>
      <c r="K109" s="754">
        <v>3.0</v>
      </c>
      <c r="L109" s="733"/>
      <c r="M109" s="733"/>
      <c r="N109" s="752">
        <v>286.0</v>
      </c>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outlineLevel="1">
      <c r="A121" s="640"/>
      <c r="B121" s="739"/>
      <c r="C121" s="740">
        <f>IF(C109="","",IF(DAY(C109+1)=1,"",C109+1))</f>
        <v>46123</v>
      </c>
      <c r="D121" s="741" t="str">
        <f>TEXT(C121,"ddd")</f>
        <v>土</v>
      </c>
      <c r="E121" s="742"/>
      <c r="F121" s="743" t="s">
        <v>550</v>
      </c>
      <c r="G121" s="744" t="s">
        <v>574</v>
      </c>
      <c r="H121" s="745"/>
      <c r="I121" s="746">
        <v>0.6458333333333334</v>
      </c>
      <c r="J121" s="745">
        <v>25.0</v>
      </c>
      <c r="K121" s="745">
        <v>5.0</v>
      </c>
      <c r="L121" s="747"/>
      <c r="M121" s="747"/>
      <c r="N121" s="743">
        <v>312.0</v>
      </c>
      <c r="O121" s="748"/>
      <c r="P121" s="749"/>
      <c r="Q121" s="750"/>
      <c r="R121" s="640"/>
      <c r="S121" s="213" t="str">
        <f t="array" ref="S121">IFERROR(INDEX('💻シート作成'!$D$6:$D1001, MATCH(T121, '💻シート作成'!$E$6:$E1001, 0)), "")</f>
        <v/>
      </c>
      <c r="T121" s="169"/>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outlineLevel="1">
      <c r="A132" s="640"/>
      <c r="B132" s="722"/>
      <c r="C132" s="723">
        <f>IF(C121="","",IF(DAY(C121+1)=1,"",C121+1))</f>
        <v>46124</v>
      </c>
      <c r="D132" s="724" t="str">
        <f>TEXT(C132,"ddd")</f>
        <v>日</v>
      </c>
      <c r="E132" s="725"/>
      <c r="F132" s="752" t="s">
        <v>575</v>
      </c>
      <c r="G132" s="753" t="s">
        <v>576</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outlineLevel="1">
      <c r="A143" s="640"/>
      <c r="B143" s="739"/>
      <c r="C143" s="740">
        <f>IF(C132="","",IF(DAY(C132+1)=1,"",C132+1))</f>
        <v>46125</v>
      </c>
      <c r="D143" s="741" t="str">
        <f>TEXT(C143,"ddd")</f>
        <v>月</v>
      </c>
      <c r="E143" s="742"/>
      <c r="F143" s="743" t="s">
        <v>575</v>
      </c>
      <c r="G143" s="744" t="s">
        <v>576</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outlineLevel="1">
      <c r="A154" s="640"/>
      <c r="B154" s="722"/>
      <c r="C154" s="723">
        <f>IF(C143="","",IF(DAY(C143+1)=1,"",C143+1))</f>
        <v>46126</v>
      </c>
      <c r="D154" s="724" t="str">
        <f>TEXT(C154,"ddd")</f>
        <v>火</v>
      </c>
      <c r="E154" s="725"/>
      <c r="F154" s="752" t="s">
        <v>575</v>
      </c>
      <c r="G154" s="753" t="s">
        <v>576</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outlineLevel="1">
      <c r="A165" s="640"/>
      <c r="B165" s="739"/>
      <c r="C165" s="740">
        <f>IF(C154="","",IF(DAY(C154+1)=1,"",C154+1))</f>
        <v>46127</v>
      </c>
      <c r="D165" s="741" t="str">
        <f>TEXT(C165,"ddd")</f>
        <v>水</v>
      </c>
      <c r="E165" s="742"/>
      <c r="F165" s="743" t="s">
        <v>575</v>
      </c>
      <c r="G165" s="744" t="s">
        <v>576</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575</v>
      </c>
      <c r="G177" s="753" t="s">
        <v>576</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575</v>
      </c>
      <c r="G188" s="744" t="s">
        <v>576</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575</v>
      </c>
      <c r="G199" s="753" t="s">
        <v>576</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575</v>
      </c>
      <c r="G210" s="744" t="s">
        <v>576</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575</v>
      </c>
      <c r="G221" s="753" t="s">
        <v>576</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575</v>
      </c>
      <c r="G233" s="744" t="s">
        <v>576</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575</v>
      </c>
      <c r="G244" s="753" t="s">
        <v>576</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575</v>
      </c>
      <c r="G255" s="744" t="s">
        <v>576</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575</v>
      </c>
      <c r="G266" s="753" t="s">
        <v>576</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575</v>
      </c>
      <c r="G277" s="744" t="s">
        <v>576</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575</v>
      </c>
      <c r="G289" s="753" t="s">
        <v>576</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575</v>
      </c>
      <c r="G300" s="744" t="s">
        <v>576</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575</v>
      </c>
      <c r="G311" s="753" t="s">
        <v>576</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575</v>
      </c>
      <c r="G322" s="744" t="s">
        <v>576</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575</v>
      </c>
      <c r="G333" s="753" t="s">
        <v>576</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575</v>
      </c>
      <c r="G344" s="744" t="s">
        <v>576</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581</v>
      </c>
      <c r="C4" s="783"/>
      <c r="D4" s="784" t="s">
        <v>582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583</v>
      </c>
      <c r="G5" s="789"/>
      <c r="H5" s="790" t="b">
        <v>0</v>
      </c>
      <c r="J5" s="791"/>
      <c r="K5" s="775"/>
      <c r="L5" s="792" t="s">
        <v>584</v>
      </c>
      <c r="T5" s="791"/>
      <c r="U5" s="793" t="s">
        <v>585</v>
      </c>
      <c r="AC5" s="776"/>
      <c r="AD5" s="794" t="s">
        <v>96</v>
      </c>
      <c r="AE5" s="794" t="s">
        <v>586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587</v>
      </c>
      <c r="M7" s="221"/>
      <c r="N7" s="221"/>
      <c r="O7" s="221"/>
      <c r="P7" s="221"/>
      <c r="Q7" s="221"/>
      <c r="R7" s="221"/>
      <c r="S7" s="106"/>
      <c r="T7" s="798" t="s">
        <v>588</v>
      </c>
      <c r="U7" s="799" t="s">
        <v>589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590</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0.2985326951</v>
      </c>
      <c r="D10" s="810">
        <f t="array" ref="D10">INDIRECT($E$8 &amp; "!E8")</f>
        <v>0.5928761483</v>
      </c>
      <c r="E10" s="810">
        <f t="array" ref="E10">INDIRECT($E$8 &amp; "!G8")</f>
        <v>0.7954545455</v>
      </c>
      <c r="F10" s="811">
        <f t="array" ref="F10">INDIRECT($E$8 &amp; "!H8")</f>
        <v>5566066.667</v>
      </c>
      <c r="G10" s="811">
        <f t="array" ref="G10">INDIRECT($E$8 &amp; "!K8")</f>
        <v>0</v>
      </c>
      <c r="H10" s="811">
        <f t="array" ref="H10">INDIRECT($E$8 &amp; "!M8")</f>
        <v>1661652.883</v>
      </c>
      <c r="I10" s="810">
        <f t="array" ref="I10">INDIRECT($E$8 &amp; "!AT7")</f>
        <v>0.0002913752914</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0.2749527402</v>
      </c>
      <c r="D11" s="814"/>
      <c r="E11" s="815"/>
      <c r="F11" s="816">
        <f t="array" ref="F11">INDIRECT($E$8 &amp; "!H7")</f>
        <v>14865844.75</v>
      </c>
      <c r="G11" s="814"/>
      <c r="H11" s="817">
        <f t="array" ref="H11">INDIRECT($E$8 &amp; "!M7")</f>
        <v>4087404.75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591</v>
      </c>
      <c r="C13" s="821"/>
      <c r="D13" s="822" t="s">
        <v>51</v>
      </c>
      <c r="E13" s="823" t="s">
        <v>592</v>
      </c>
      <c r="F13" s="185"/>
      <c r="G13" s="185"/>
      <c r="H13" s="824" t="s">
        <v>35</v>
      </c>
      <c r="I13" s="825">
        <f t="array" ref="I13">xlookup($B$5,'🔵クレーム'!$C$10:$C$21,'🔵クレーム'!X$10:X$21)</f>
        <v>0.0003663003663</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1</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595</v>
      </c>
      <c r="C20" s="807" t="s">
        <v>596</v>
      </c>
      <c r="D20" s="807" t="s">
        <v>89</v>
      </c>
      <c r="E20" s="807" t="s">
        <v>90</v>
      </c>
      <c r="F20" s="807" t="s">
        <v>597</v>
      </c>
      <c r="G20" s="807" t="s">
        <v>451</v>
      </c>
      <c r="H20" s="807" t="s">
        <v>451</v>
      </c>
      <c r="I20" s="807" t="s">
        <v>598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599</v>
      </c>
      <c r="M21" s="217"/>
      <c r="N21" s="217"/>
      <c r="O21" s="217"/>
      <c r="P21" s="217"/>
      <c r="Q21" s="217"/>
      <c r="R21" s="217"/>
      <c r="S21" s="2"/>
      <c r="T21" s="798" t="s">
        <v>588</v>
      </c>
      <c r="U21" s="799" t="s">
        <v>600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602</v>
      </c>
      <c r="C25" s="847" t="s">
        <v>603</v>
      </c>
      <c r="D25" s="2"/>
      <c r="E25" s="847" t="s">
        <v>604</v>
      </c>
      <c r="F25" s="217"/>
      <c r="G25" s="217"/>
      <c r="H25" s="847" t="s">
        <v>605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606</v>
      </c>
      <c r="M35" s="217"/>
      <c r="N35" s="217"/>
      <c r="O35" s="217"/>
      <c r="P35" s="217"/>
      <c r="Q35" s="217"/>
      <c r="R35" s="217"/>
      <c r="S35" s="2"/>
      <c r="T35" s="798" t="s">
        <v>588</v>
      </c>
      <c r="U35" s="799" t="s">
        <v>606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607</v>
      </c>
      <c r="C37" s="854"/>
      <c r="D37" s="855">
        <f>counta(C39:D48)</f>
        <v>0</v>
      </c>
      <c r="E37" s="856" t="s">
        <v>608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604</v>
      </c>
      <c r="F38" s="860"/>
      <c r="G38" s="859" t="s">
        <v>609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610</v>
      </c>
      <c r="M49" s="217"/>
      <c r="N49" s="217"/>
      <c r="O49" s="217"/>
      <c r="P49" s="217"/>
      <c r="Q49" s="217"/>
      <c r="R49" s="217"/>
      <c r="S49" s="2"/>
      <c r="T49" s="798" t="s">
        <v>588</v>
      </c>
      <c r="U49" s="799" t="s">
        <v>611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613</v>
      </c>
      <c r="C51" s="859" t="s">
        <v>448</v>
      </c>
      <c r="D51" s="860"/>
      <c r="E51" s="858" t="s">
        <v>614</v>
      </c>
      <c r="F51" s="858" t="s">
        <v>615</v>
      </c>
      <c r="G51" s="858" t="s">
        <v>616</v>
      </c>
      <c r="H51" s="859" t="s">
        <v>617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618</v>
      </c>
      <c r="M63" s="217"/>
      <c r="N63" s="217"/>
      <c r="O63" s="217"/>
      <c r="P63" s="217"/>
      <c r="Q63" s="217"/>
      <c r="R63" s="217"/>
      <c r="S63" s="2"/>
      <c r="T63" s="798" t="s">
        <v>588</v>
      </c>
      <c r="U63" s="799" t="s">
        <v>619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613</v>
      </c>
      <c r="C65" s="859" t="s">
        <v>448</v>
      </c>
      <c r="D65" s="860"/>
      <c r="E65" s="858" t="s">
        <v>621</v>
      </c>
      <c r="F65" s="859" t="s">
        <v>622</v>
      </c>
      <c r="G65" s="860"/>
      <c r="H65" s="859" t="s">
        <v>617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623</v>
      </c>
      <c r="M77" s="217"/>
      <c r="N77" s="217"/>
      <c r="O77" s="217"/>
      <c r="P77" s="217"/>
      <c r="Q77" s="217"/>
      <c r="R77" s="217"/>
      <c r="S77" s="2"/>
      <c r="T77" s="791"/>
      <c r="U77" s="883" t="s">
        <v>624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14945400</v>
      </c>
      <c r="D1" s="271">
        <f>AZ20</f>
        <v>1150920</v>
      </c>
      <c r="E1" s="271">
        <f>BG23</f>
        <v>9360998.833</v>
      </c>
      <c r="F1" s="271">
        <f>BB23+BG40</f>
        <v>0</v>
      </c>
      <c r="G1" s="271">
        <f t="shared" ref="G1:H1" si="1">I8</f>
        <v>192951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46082.0</v>
      </c>
      <c r="E5" s="69"/>
      <c r="F5" s="288" t="s">
        <v>285</v>
      </c>
      <c r="G5" s="289">
        <f>DAY(EOMONTH(D5,0))</f>
        <v>31</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0.2944315419</v>
      </c>
      <c r="AX7" s="306"/>
      <c r="AY7" s="322" t="s">
        <v>626</v>
      </c>
      <c r="BG7" s="323"/>
      <c r="BL7" s="310"/>
    </row>
    <row r="8" ht="15.75" customHeight="1" outlineLevel="1">
      <c r="B8" s="324" t="s">
        <v>304</v>
      </c>
      <c r="C8" s="325">
        <f>M8/H8</f>
        <v>0.2944315419</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IFERROR(__xludf.DUMMYFUNCTION("IMPORTRANGE(""https://docs.google.com/spreadsheets/d/1QbHfX9wvC_RRupa4CCe_ZxA6O4e2Ap9vqX5hrZPeQRg/edit"",""date2_1!Q11"")/G5*COUNTIFS($E$13:$E$43,""&gt;0"")"),192951.0)</f>
        <v>192951</v>
      </c>
      <c r="J8" s="330">
        <f>IFERROR(__xludf.DUMMYFUNCTION("IMPORTRANGE(""https://docs.google.com/spreadsheets/d/1PIAlDmsTatDNi42y_Nu-aVFqvVCXfe6jiDJFQImKjZ0/edit#gid=630612029"",""R8_3!J9"")"),56906.0)</f>
        <v>56906</v>
      </c>
      <c r="K8" s="331">
        <f>BE24</f>
        <v>159867</v>
      </c>
      <c r="L8" s="331">
        <f>BB30-BB23-AZ20-BG45-BG23+BE24</f>
        <v>4593348.167</v>
      </c>
      <c r="M8" s="332">
        <f>L8-I8</f>
        <v>4400397.167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887" t="s">
        <v>627</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46082</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355</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IFERROR(__xludf.DUMMYFUNCTION("IMPORTRANGE(""https://docs.google.com/spreadsheets/d/1QbHfX9wvC_RRupa4CCe_ZxA6O4e2Ap9vqX5hrZPeQRg/edit?gid=284905409#gid=284905409"",""date2_1!C11"")/G5*COUNTIFS($E$13:$E$43,""&gt;0"")+sum(AZ14:BA19)"),1150920.0)</f>
        <v>1150920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IFERROR(__xludf.DUMMYFUNCTION("IMPORTRANGE(AT9,""total!ai2"")"),8454545.833333334)</f>
        <v>8454545.833</v>
      </c>
      <c r="BF23" s="414">
        <f>IFERROR(__xludf.DUMMYFUNCTION("IMPORTRANGE(AT9,""total!an2"")"),746586.0)</f>
        <v>746586</v>
      </c>
      <c r="BG23" s="412">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IFERROR(__xludf.DUMMYFUNCTION("IMPORTRANGE(AT9,""total!as2"")"),159867.0)</f>
        <v>159867</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6">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5" t="s">
        <v>376</v>
      </c>
      <c r="AZ30" s="414">
        <f>AS46</f>
        <v>14020400</v>
      </c>
      <c r="BA30" s="426" t="s">
        <v>111</v>
      </c>
      <c r="BB30" s="412">
        <f>SUM(AZ30:AZ36)</f>
        <v>14945400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30" t="s">
        <v>380</v>
      </c>
      <c r="AZ31" s="414">
        <f t="shared" ref="AZ31:AZ34" si="9">BA31/$G$5*COUNTIFS($E$13:$E$43,"&gt;0")</f>
        <v>93600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30" t="s">
        <v>382</v>
      </c>
      <c r="AZ32" s="414">
        <f t="shared" si="9"/>
        <v>72960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30" t="s">
        <v>384</v>
      </c>
      <c r="AZ33" s="414">
        <f t="shared" si="9"/>
        <v>413440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30" t="s">
        <v>386</v>
      </c>
      <c r="AZ34" s="414">
        <f t="shared" si="9"/>
        <v>345000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397">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46105</v>
      </c>
      <c r="D36" s="371" t="str">
        <f t="shared" si="2"/>
        <v>火</v>
      </c>
      <c r="E36" s="371">
        <f t="shared" si="3"/>
        <v>312</v>
      </c>
      <c r="F36" s="372">
        <f t="shared" si="4"/>
        <v>0.6666666667</v>
      </c>
      <c r="G36" s="397">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397">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46107</v>
      </c>
      <c r="D38" s="371" t="str">
        <f t="shared" si="2"/>
        <v>木</v>
      </c>
      <c r="E38" s="371">
        <f t="shared" si="3"/>
        <v>312</v>
      </c>
      <c r="F38" s="372">
        <f t="shared" si="4"/>
        <v>0.7788461538</v>
      </c>
      <c r="G38" s="397">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397">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46109</v>
      </c>
      <c r="D40" s="371" t="str">
        <f t="shared" si="2"/>
        <v>土</v>
      </c>
      <c r="E40" s="371">
        <f t="shared" si="3"/>
        <v>312</v>
      </c>
      <c r="F40" s="372">
        <f t="shared" si="4"/>
        <v>0.6955128205</v>
      </c>
      <c r="G40" s="397">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397">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397">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397">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628</v>
      </c>
      <c r="O2" s="498"/>
      <c r="P2" s="499"/>
      <c r="Q2" s="500"/>
      <c r="R2" s="500"/>
      <c r="S2" s="501"/>
      <c r="T2" s="500"/>
      <c r="U2" s="500"/>
      <c r="V2" s="500"/>
      <c r="W2" s="500"/>
      <c r="X2" s="500"/>
      <c r="Y2" s="502"/>
      <c r="Z2" s="266"/>
      <c r="AA2" s="266"/>
      <c r="AB2" s="266"/>
      <c r="AC2" s="266"/>
      <c r="AD2" s="266"/>
      <c r="AE2" s="266"/>
      <c r="AF2" s="503"/>
      <c r="AG2" s="504"/>
      <c r="AH2" s="505"/>
      <c r="AI2" s="506" t="s">
        <v>629</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630</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631</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46124</v>
      </c>
      <c r="C7" s="576"/>
      <c r="D7" s="493"/>
      <c r="E7" s="577">
        <f>today()+1</f>
        <v>46125</v>
      </c>
      <c r="F7" s="578"/>
      <c r="G7" s="493"/>
      <c r="H7" s="493"/>
      <c r="I7" s="579" t="s">
        <v>437</v>
      </c>
      <c r="J7" s="580" t="s">
        <v>438</v>
      </c>
      <c r="K7" s="581">
        <v>46082.0</v>
      </c>
      <c r="L7" s="582" t="s">
        <v>439</v>
      </c>
      <c r="M7" s="583" t="s">
        <v>440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日</v>
      </c>
      <c r="D8" s="112"/>
      <c r="E8" s="591" t="s">
        <v>310</v>
      </c>
      <c r="F8" s="592" t="str">
        <f>TEXT(E7,"ddd")</f>
        <v>月</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450</v>
      </c>
      <c r="L9" s="601" t="s">
        <v>451</v>
      </c>
      <c r="M9" s="602" t="s">
        <v>452</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451</v>
      </c>
      <c r="AT9" s="604" t="s">
        <v>451</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451</v>
      </c>
      <c r="AT10" s="604" t="s">
        <v>451</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632</v>
      </c>
      <c r="N11" s="607" t="s">
        <v>410</v>
      </c>
      <c r="O11" s="607" t="s">
        <v>410</v>
      </c>
      <c r="P11" s="607" t="s">
        <v>410</v>
      </c>
      <c r="Q11" s="607"/>
      <c r="R11" s="607" t="s">
        <v>410</v>
      </c>
      <c r="S11" s="607" t="s">
        <v>410</v>
      </c>
      <c r="T11" s="607" t="s">
        <v>410</v>
      </c>
      <c r="U11" s="607" t="s">
        <v>410</v>
      </c>
      <c r="V11" s="607"/>
      <c r="W11" s="607" t="s">
        <v>410</v>
      </c>
      <c r="X11" s="607" t="s">
        <v>410</v>
      </c>
      <c r="Y11" s="607" t="s">
        <v>410</v>
      </c>
      <c r="Z11" s="607" t="s">
        <v>410</v>
      </c>
      <c r="AA11" s="607"/>
      <c r="AB11" s="607" t="s">
        <v>410</v>
      </c>
      <c r="AC11" s="607" t="s">
        <v>410</v>
      </c>
      <c r="AD11" s="607" t="s">
        <v>410</v>
      </c>
      <c r="AE11" s="607" t="s">
        <v>410</v>
      </c>
      <c r="AF11" s="607" t="s">
        <v>410</v>
      </c>
      <c r="AG11" s="607"/>
      <c r="AH11" s="607" t="s">
        <v>410</v>
      </c>
      <c r="AI11" s="607" t="s">
        <v>410</v>
      </c>
      <c r="AJ11" s="607"/>
      <c r="AK11" s="607"/>
      <c r="AL11" s="607"/>
      <c r="AM11" s="607"/>
      <c r="AN11" s="607"/>
      <c r="AO11" s="607" t="s">
        <v>410</v>
      </c>
      <c r="AP11" s="607" t="s">
        <v>410</v>
      </c>
      <c r="AQ11" s="607" t="s">
        <v>410</v>
      </c>
      <c r="AR11" s="607" t="s">
        <v>410</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9.0</v>
      </c>
      <c r="N12" s="607" t="s">
        <v>410</v>
      </c>
      <c r="O12" s="607" t="s">
        <v>459</v>
      </c>
      <c r="P12" s="607" t="s">
        <v>459</v>
      </c>
      <c r="Q12" s="607" t="s">
        <v>459</v>
      </c>
      <c r="R12" s="607"/>
      <c r="S12" s="607" t="s">
        <v>410</v>
      </c>
      <c r="T12" s="607"/>
      <c r="U12" s="607" t="s">
        <v>410</v>
      </c>
      <c r="V12" s="607" t="s">
        <v>410</v>
      </c>
      <c r="W12" s="607" t="s">
        <v>410</v>
      </c>
      <c r="X12" s="607"/>
      <c r="Y12" s="607" t="s">
        <v>410</v>
      </c>
      <c r="Z12" s="607"/>
      <c r="AA12" s="607" t="s">
        <v>410</v>
      </c>
      <c r="AB12" s="607" t="s">
        <v>410</v>
      </c>
      <c r="AC12" s="607" t="s">
        <v>410</v>
      </c>
      <c r="AD12" s="607" t="s">
        <v>410</v>
      </c>
      <c r="AE12" s="607"/>
      <c r="AF12" s="607"/>
      <c r="AG12" s="607" t="s">
        <v>410</v>
      </c>
      <c r="AH12" s="607"/>
      <c r="AI12" s="607" t="s">
        <v>410</v>
      </c>
      <c r="AJ12" s="607"/>
      <c r="AK12" s="607" t="s">
        <v>410</v>
      </c>
      <c r="AL12" s="607"/>
      <c r="AM12" s="607"/>
      <c r="AN12" s="607" t="s">
        <v>410</v>
      </c>
      <c r="AO12" s="607" t="s">
        <v>410</v>
      </c>
      <c r="AP12" s="607" t="s">
        <v>410</v>
      </c>
      <c r="AQ12" s="607" t="s">
        <v>410</v>
      </c>
      <c r="AR12" s="607" t="s">
        <v>410</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9.0</v>
      </c>
      <c r="N13" s="607"/>
      <c r="O13" s="607" t="s">
        <v>410</v>
      </c>
      <c r="P13" s="607" t="s">
        <v>410</v>
      </c>
      <c r="Q13" s="607" t="s">
        <v>410</v>
      </c>
      <c r="R13" s="607" t="s">
        <v>410</v>
      </c>
      <c r="S13" s="607" t="s">
        <v>410</v>
      </c>
      <c r="T13" s="607" t="s">
        <v>410</v>
      </c>
      <c r="U13" s="607"/>
      <c r="V13" s="607" t="s">
        <v>410</v>
      </c>
      <c r="W13" s="607"/>
      <c r="X13" s="607" t="s">
        <v>410</v>
      </c>
      <c r="Y13" s="607" t="s">
        <v>410</v>
      </c>
      <c r="Z13" s="607" t="s">
        <v>410</v>
      </c>
      <c r="AA13" s="607" t="s">
        <v>410</v>
      </c>
      <c r="AB13" s="607"/>
      <c r="AC13" s="607" t="s">
        <v>410</v>
      </c>
      <c r="AD13" s="607"/>
      <c r="AE13" s="607" t="s">
        <v>410</v>
      </c>
      <c r="AF13" s="607" t="s">
        <v>410</v>
      </c>
      <c r="AG13" s="607" t="s">
        <v>410</v>
      </c>
      <c r="AH13" s="607" t="s">
        <v>410</v>
      </c>
      <c r="AI13" s="607" t="s">
        <v>410</v>
      </c>
      <c r="AJ13" s="607" t="s">
        <v>410</v>
      </c>
      <c r="AK13" s="607"/>
      <c r="AL13" s="607" t="s">
        <v>410</v>
      </c>
      <c r="AM13" s="607" t="s">
        <v>410</v>
      </c>
      <c r="AN13" s="607" t="s">
        <v>410</v>
      </c>
      <c r="AO13" s="607" t="s">
        <v>432</v>
      </c>
      <c r="AP13" s="607"/>
      <c r="AQ13" s="607" t="s">
        <v>410</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633</v>
      </c>
      <c r="N14" s="607" t="s">
        <v>410</v>
      </c>
      <c r="O14" s="607" t="s">
        <v>410</v>
      </c>
      <c r="P14" s="607" t="s">
        <v>410</v>
      </c>
      <c r="Q14" s="607" t="s">
        <v>410</v>
      </c>
      <c r="R14" s="607"/>
      <c r="S14" s="607"/>
      <c r="T14" s="607" t="s">
        <v>410</v>
      </c>
      <c r="U14" s="607" t="s">
        <v>410</v>
      </c>
      <c r="V14" s="607" t="s">
        <v>410</v>
      </c>
      <c r="W14" s="607" t="s">
        <v>410</v>
      </c>
      <c r="X14" s="607" t="s">
        <v>410</v>
      </c>
      <c r="Y14" s="607" t="s">
        <v>432</v>
      </c>
      <c r="Z14" s="607" t="s">
        <v>410</v>
      </c>
      <c r="AA14" s="607" t="s">
        <v>410</v>
      </c>
      <c r="AB14" s="607" t="s">
        <v>410</v>
      </c>
      <c r="AC14" s="607" t="s">
        <v>410</v>
      </c>
      <c r="AD14" s="607" t="s">
        <v>410</v>
      </c>
      <c r="AE14" s="607"/>
      <c r="AF14" s="607"/>
      <c r="AG14" s="607" t="s">
        <v>410</v>
      </c>
      <c r="AH14" s="607" t="s">
        <v>410</v>
      </c>
      <c r="AI14" s="607" t="s">
        <v>410</v>
      </c>
      <c r="AJ14" s="607"/>
      <c r="AK14" s="607" t="s">
        <v>410</v>
      </c>
      <c r="AL14" s="607" t="s">
        <v>410</v>
      </c>
      <c r="AM14" s="607" t="s">
        <v>410</v>
      </c>
      <c r="AN14" s="607"/>
      <c r="AO14" s="607" t="s">
        <v>410</v>
      </c>
      <c r="AP14" s="607" t="s">
        <v>410</v>
      </c>
      <c r="AQ14" s="607" t="s">
        <v>432</v>
      </c>
      <c r="AR14" s="607" t="s">
        <v>432</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c r="P15" s="607" t="s">
        <v>410</v>
      </c>
      <c r="Q15" s="607" t="s">
        <v>410</v>
      </c>
      <c r="R15" s="607"/>
      <c r="S15" s="607" t="s">
        <v>410</v>
      </c>
      <c r="T15" s="607"/>
      <c r="U15" s="607"/>
      <c r="V15" s="607"/>
      <c r="W15" s="607" t="s">
        <v>410</v>
      </c>
      <c r="X15" s="607" t="s">
        <v>410</v>
      </c>
      <c r="Y15" s="607" t="s">
        <v>410</v>
      </c>
      <c r="Z15" s="607" t="s">
        <v>410</v>
      </c>
      <c r="AA15" s="607"/>
      <c r="AB15" s="607"/>
      <c r="AC15" s="607" t="s">
        <v>410</v>
      </c>
      <c r="AD15" s="607" t="s">
        <v>410</v>
      </c>
      <c r="AE15" s="607" t="s">
        <v>410</v>
      </c>
      <c r="AF15" s="607"/>
      <c r="AG15" s="607" t="s">
        <v>410</v>
      </c>
      <c r="AH15" s="607"/>
      <c r="AI15" s="607"/>
      <c r="AJ15" s="607" t="s">
        <v>410</v>
      </c>
      <c r="AK15" s="607" t="s">
        <v>410</v>
      </c>
      <c r="AL15" s="607" t="s">
        <v>410</v>
      </c>
      <c r="AM15" s="607"/>
      <c r="AN15" s="607" t="s">
        <v>410</v>
      </c>
      <c r="AO15" s="607"/>
      <c r="AP15" s="607"/>
      <c r="AQ15" s="607" t="s">
        <v>410</v>
      </c>
      <c r="AR15" s="607" t="s">
        <v>410</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t="s">
        <v>225</v>
      </c>
      <c r="P16" s="607" t="s">
        <v>430</v>
      </c>
      <c r="Q16" s="607" t="s">
        <v>225</v>
      </c>
      <c r="R16" s="607" t="s">
        <v>225</v>
      </c>
      <c r="S16" s="607"/>
      <c r="T16" s="607"/>
      <c r="U16" s="607"/>
      <c r="V16" s="607" t="s">
        <v>430</v>
      </c>
      <c r="W16" s="607" t="s">
        <v>225</v>
      </c>
      <c r="X16" s="607" t="s">
        <v>430</v>
      </c>
      <c r="Y16" s="607" t="s">
        <v>428</v>
      </c>
      <c r="Z16" s="607" t="s">
        <v>428</v>
      </c>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t="s">
        <v>225</v>
      </c>
      <c r="AR16" s="607" t="s">
        <v>225</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c r="AD19" s="607" t="s">
        <v>410</v>
      </c>
      <c r="AE19" s="607" t="s">
        <v>410</v>
      </c>
      <c r="AF19" s="607" t="s">
        <v>410</v>
      </c>
      <c r="AG19" s="607"/>
      <c r="AH19" s="607"/>
      <c r="AI19" s="607"/>
      <c r="AJ19" s="607" t="s">
        <v>410</v>
      </c>
      <c r="AK19" s="607" t="s">
        <v>410</v>
      </c>
      <c r="AL19" s="607"/>
      <c r="AM19" s="607" t="s">
        <v>410</v>
      </c>
      <c r="AN19" s="607" t="s">
        <v>410</v>
      </c>
      <c r="AO19" s="607" t="s">
        <v>410</v>
      </c>
      <c r="AP19" s="607"/>
      <c r="AQ19" s="607" t="s">
        <v>410</v>
      </c>
      <c r="AR19" s="607" t="s">
        <v>410</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465</v>
      </c>
      <c r="L20" s="601" t="s">
        <v>464</v>
      </c>
      <c r="M20" s="613"/>
      <c r="N20" s="607" t="s">
        <v>410</v>
      </c>
      <c r="O20" s="607"/>
      <c r="P20" s="607"/>
      <c r="Q20" s="603"/>
      <c r="R20" s="607"/>
      <c r="S20" s="607"/>
      <c r="T20" s="607" t="s">
        <v>410</v>
      </c>
      <c r="U20" s="607" t="s">
        <v>410</v>
      </c>
      <c r="V20" s="607"/>
      <c r="W20" s="607"/>
      <c r="X20" s="603"/>
      <c r="Y20" s="607"/>
      <c r="Z20" s="607"/>
      <c r="AA20" s="607" t="s">
        <v>410</v>
      </c>
      <c r="AB20" s="607" t="s">
        <v>410</v>
      </c>
      <c r="AC20" s="607"/>
      <c r="AD20" s="607"/>
      <c r="AE20" s="607"/>
      <c r="AF20" s="607"/>
      <c r="AG20" s="607"/>
      <c r="AH20" s="607" t="s">
        <v>410</v>
      </c>
      <c r="AI20" s="607" t="s">
        <v>410</v>
      </c>
      <c r="AJ20" s="607"/>
      <c r="AK20" s="607"/>
      <c r="AL20" s="607"/>
      <c r="AM20" s="607"/>
      <c r="AN20" s="607"/>
      <c r="AO20" s="607" t="s">
        <v>410</v>
      </c>
      <c r="AP20" s="607" t="s">
        <v>410</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464</v>
      </c>
      <c r="M21" s="613"/>
      <c r="N21" s="607" t="s">
        <v>410</v>
      </c>
      <c r="O21" s="607" t="s">
        <v>410</v>
      </c>
      <c r="P21" s="607"/>
      <c r="Q21" s="607" t="s">
        <v>410</v>
      </c>
      <c r="R21" s="607" t="s">
        <v>410</v>
      </c>
      <c r="S21" s="607" t="s">
        <v>410</v>
      </c>
      <c r="T21" s="607" t="s">
        <v>410</v>
      </c>
      <c r="U21" s="607"/>
      <c r="V21" s="607" t="s">
        <v>410</v>
      </c>
      <c r="W21" s="607"/>
      <c r="X21" s="607" t="s">
        <v>410</v>
      </c>
      <c r="Y21" s="607"/>
      <c r="Z21" s="607" t="s">
        <v>410</v>
      </c>
      <c r="AA21" s="607" t="s">
        <v>410</v>
      </c>
      <c r="AB21" s="607" t="s">
        <v>410</v>
      </c>
      <c r="AC21" s="607" t="s">
        <v>410</v>
      </c>
      <c r="AD21" s="607"/>
      <c r="AE21" s="607" t="s">
        <v>410</v>
      </c>
      <c r="AF21" s="607"/>
      <c r="AG21" s="607" t="s">
        <v>410</v>
      </c>
      <c r="AH21" s="607" t="s">
        <v>410</v>
      </c>
      <c r="AI21" s="607"/>
      <c r="AJ21" s="607" t="s">
        <v>410</v>
      </c>
      <c r="AK21" s="607"/>
      <c r="AL21" s="607" t="s">
        <v>410</v>
      </c>
      <c r="AM21" s="607" t="s">
        <v>410</v>
      </c>
      <c r="AN21" s="607" t="s">
        <v>410</v>
      </c>
      <c r="AO21" s="607"/>
      <c r="AP21" s="607"/>
      <c r="AQ21" s="607"/>
      <c r="AR21" s="607" t="s">
        <v>410</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466</v>
      </c>
      <c r="L22" s="601" t="s">
        <v>464</v>
      </c>
      <c r="M22" s="613"/>
      <c r="N22" s="607" t="s">
        <v>410</v>
      </c>
      <c r="O22" s="607" t="s">
        <v>410</v>
      </c>
      <c r="P22" s="607"/>
      <c r="Q22" s="607"/>
      <c r="R22" s="607"/>
      <c r="S22" s="607"/>
      <c r="T22" s="607" t="s">
        <v>410</v>
      </c>
      <c r="U22" s="607" t="s">
        <v>410</v>
      </c>
      <c r="V22" s="607" t="s">
        <v>410</v>
      </c>
      <c r="W22" s="607"/>
      <c r="X22" s="607"/>
      <c r="Y22" s="607"/>
      <c r="Z22" s="607"/>
      <c r="AA22" s="607" t="s">
        <v>410</v>
      </c>
      <c r="AB22" s="607"/>
      <c r="AC22" s="607" t="s">
        <v>410</v>
      </c>
      <c r="AD22" s="607"/>
      <c r="AE22" s="607"/>
      <c r="AF22" s="607"/>
      <c r="AG22" s="607"/>
      <c r="AH22" s="607" t="s">
        <v>410</v>
      </c>
      <c r="AI22" s="607"/>
      <c r="AJ22" s="607" t="s">
        <v>410</v>
      </c>
      <c r="AK22" s="607"/>
      <c r="AL22" s="607"/>
      <c r="AM22" s="607"/>
      <c r="AN22" s="607"/>
      <c r="AO22" s="607"/>
      <c r="AP22" s="607"/>
      <c r="AQ22" s="607" t="s">
        <v>410</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464</v>
      </c>
      <c r="M23" s="613"/>
      <c r="N23" s="607"/>
      <c r="O23" s="607"/>
      <c r="P23" s="607" t="s">
        <v>410</v>
      </c>
      <c r="Q23" s="607" t="s">
        <v>410</v>
      </c>
      <c r="R23" s="607" t="s">
        <v>410</v>
      </c>
      <c r="S23" s="607"/>
      <c r="T23" s="607"/>
      <c r="U23" s="607"/>
      <c r="V23" s="607"/>
      <c r="W23" s="607" t="s">
        <v>410</v>
      </c>
      <c r="X23" s="607" t="s">
        <v>430</v>
      </c>
      <c r="Y23" s="607" t="s">
        <v>410</v>
      </c>
      <c r="Z23" s="607"/>
      <c r="AA23" s="607"/>
      <c r="AB23" s="607"/>
      <c r="AC23" s="607"/>
      <c r="AD23" s="607" t="s">
        <v>410</v>
      </c>
      <c r="AE23" s="607" t="s">
        <v>410</v>
      </c>
      <c r="AF23" s="607" t="s">
        <v>410</v>
      </c>
      <c r="AG23" s="607"/>
      <c r="AH23" s="607"/>
      <c r="AI23" s="607"/>
      <c r="AJ23" s="607"/>
      <c r="AK23" s="607" t="s">
        <v>410</v>
      </c>
      <c r="AL23" s="607" t="s">
        <v>410</v>
      </c>
      <c r="AM23" s="607" t="s">
        <v>410</v>
      </c>
      <c r="AN23" s="607"/>
      <c r="AO23" s="607"/>
      <c r="AP23" s="607"/>
      <c r="AQ23" s="607"/>
      <c r="AR23" s="607" t="s">
        <v>410</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467</v>
      </c>
      <c r="L24" s="601" t="s">
        <v>464</v>
      </c>
      <c r="M24" s="613"/>
      <c r="N24" s="607"/>
      <c r="O24" s="607" t="s">
        <v>410</v>
      </c>
      <c r="P24" s="607"/>
      <c r="Q24" s="607" t="s">
        <v>410</v>
      </c>
      <c r="R24" s="607" t="s">
        <v>410</v>
      </c>
      <c r="S24" s="607"/>
      <c r="T24" s="607"/>
      <c r="U24" s="607"/>
      <c r="V24" s="607" t="s">
        <v>428</v>
      </c>
      <c r="W24" s="607" t="s">
        <v>428</v>
      </c>
      <c r="X24" s="607"/>
      <c r="Y24" s="607" t="s">
        <v>428</v>
      </c>
      <c r="Z24" s="607" t="s">
        <v>428</v>
      </c>
      <c r="AA24" s="607"/>
      <c r="AB24" s="607"/>
      <c r="AC24" s="607"/>
      <c r="AD24" s="607" t="s">
        <v>410</v>
      </c>
      <c r="AE24" s="607" t="s">
        <v>410</v>
      </c>
      <c r="AF24" s="607" t="s">
        <v>410</v>
      </c>
      <c r="AG24" s="607" t="s">
        <v>430</v>
      </c>
      <c r="AH24" s="607"/>
      <c r="AI24" s="607"/>
      <c r="AJ24" s="607" t="s">
        <v>410</v>
      </c>
      <c r="AK24" s="607" t="s">
        <v>410</v>
      </c>
      <c r="AL24" s="607"/>
      <c r="AM24" s="607" t="s">
        <v>410</v>
      </c>
      <c r="AN24" s="607" t="s">
        <v>410</v>
      </c>
      <c r="AO24" s="607"/>
      <c r="AP24" s="607"/>
      <c r="AQ24" s="607"/>
      <c r="AR24" s="607" t="s">
        <v>410</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468</v>
      </c>
      <c r="L25" s="601" t="s">
        <v>464</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410</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464</v>
      </c>
      <c r="M26" s="602"/>
      <c r="N26" s="607" t="s">
        <v>410</v>
      </c>
      <c r="O26" s="607" t="s">
        <v>430</v>
      </c>
      <c r="P26" s="607"/>
      <c r="Q26" s="607"/>
      <c r="R26" s="607" t="s">
        <v>410</v>
      </c>
      <c r="S26" s="607"/>
      <c r="T26" s="607" t="s">
        <v>410</v>
      </c>
      <c r="U26" s="607" t="s">
        <v>410</v>
      </c>
      <c r="V26" s="607" t="s">
        <v>410</v>
      </c>
      <c r="W26" s="607" t="s">
        <v>410</v>
      </c>
      <c r="X26" s="607"/>
      <c r="Y26" s="607" t="s">
        <v>410</v>
      </c>
      <c r="Z26" s="607"/>
      <c r="AA26" s="607" t="s">
        <v>410</v>
      </c>
      <c r="AB26" s="607" t="s">
        <v>410</v>
      </c>
      <c r="AC26" s="607" t="s">
        <v>430</v>
      </c>
      <c r="AD26" s="607"/>
      <c r="AE26" s="607"/>
      <c r="AF26" s="607" t="s">
        <v>410</v>
      </c>
      <c r="AG26" s="607"/>
      <c r="AH26" s="607" t="s">
        <v>410</v>
      </c>
      <c r="AI26" s="607" t="s">
        <v>410</v>
      </c>
      <c r="AJ26" s="607" t="s">
        <v>410</v>
      </c>
      <c r="AK26" s="607"/>
      <c r="AL26" s="607"/>
      <c r="AM26" s="607" t="s">
        <v>410</v>
      </c>
      <c r="AN26" s="607"/>
      <c r="AO26" s="607" t="s">
        <v>410</v>
      </c>
      <c r="AP26" s="607" t="s">
        <v>410</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469</v>
      </c>
      <c r="L27" s="601" t="s">
        <v>464</v>
      </c>
      <c r="M27" s="613"/>
      <c r="N27" s="607" t="s">
        <v>410</v>
      </c>
      <c r="O27" s="607"/>
      <c r="P27" s="607"/>
      <c r="Q27" s="607"/>
      <c r="R27" s="607" t="s">
        <v>410</v>
      </c>
      <c r="S27" s="607" t="s">
        <v>410</v>
      </c>
      <c r="T27" s="607" t="s">
        <v>512</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471</v>
      </c>
      <c r="L28" s="601" t="s">
        <v>464</v>
      </c>
      <c r="M28" s="613"/>
      <c r="N28" s="607" t="s">
        <v>410</v>
      </c>
      <c r="O28" s="607"/>
      <c r="P28" s="607"/>
      <c r="Q28" s="607" t="s">
        <v>410</v>
      </c>
      <c r="R28" s="607" t="s">
        <v>410</v>
      </c>
      <c r="S28" s="607" t="s">
        <v>410</v>
      </c>
      <c r="T28" s="607"/>
      <c r="U28" s="607" t="s">
        <v>410</v>
      </c>
      <c r="V28" s="607"/>
      <c r="W28" s="607"/>
      <c r="X28" s="607" t="s">
        <v>410</v>
      </c>
      <c r="Y28" s="607" t="s">
        <v>410</v>
      </c>
      <c r="Z28" s="607" t="s">
        <v>428</v>
      </c>
      <c r="AA28" s="607"/>
      <c r="AB28" s="607" t="s">
        <v>428</v>
      </c>
      <c r="AC28" s="607"/>
      <c r="AD28" s="607"/>
      <c r="AE28" s="607" t="s">
        <v>410</v>
      </c>
      <c r="AF28" s="607" t="s">
        <v>410</v>
      </c>
      <c r="AG28" s="607" t="s">
        <v>410</v>
      </c>
      <c r="AH28" s="607"/>
      <c r="AI28" s="607" t="s">
        <v>410</v>
      </c>
      <c r="AJ28" s="607"/>
      <c r="AK28" s="607"/>
      <c r="AL28" s="607" t="s">
        <v>410</v>
      </c>
      <c r="AM28" s="607" t="s">
        <v>410</v>
      </c>
      <c r="AN28" s="607" t="s">
        <v>410</v>
      </c>
      <c r="AO28" s="607"/>
      <c r="AP28" s="607" t="s">
        <v>410</v>
      </c>
      <c r="AQ28" s="607" t="s">
        <v>410</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459</v>
      </c>
      <c r="L29" s="601" t="s">
        <v>464</v>
      </c>
      <c r="M29" s="613"/>
      <c r="N29" s="607"/>
      <c r="O29" s="607" t="s">
        <v>410</v>
      </c>
      <c r="P29" s="607"/>
      <c r="Q29" s="607" t="s">
        <v>410</v>
      </c>
      <c r="R29" s="607" t="s">
        <v>428</v>
      </c>
      <c r="S29" s="607"/>
      <c r="T29" s="607"/>
      <c r="U29" s="607" t="s">
        <v>428</v>
      </c>
      <c r="V29" s="607"/>
      <c r="W29" s="607"/>
      <c r="X29" s="607"/>
      <c r="Y29" s="607"/>
      <c r="Z29" s="607"/>
      <c r="AA29" s="607"/>
      <c r="AB29" s="607"/>
      <c r="AC29" s="607" t="s">
        <v>428</v>
      </c>
      <c r="AD29" s="607" t="s">
        <v>634</v>
      </c>
      <c r="AE29" s="607"/>
      <c r="AF29" s="607" t="s">
        <v>634</v>
      </c>
      <c r="AG29" s="607"/>
      <c r="AH29" s="607" t="s">
        <v>634</v>
      </c>
      <c r="AI29" s="607"/>
      <c r="AJ29" s="607"/>
      <c r="AK29" s="607"/>
      <c r="AL29" s="607"/>
      <c r="AM29" s="607"/>
      <c r="AN29" s="607" t="s">
        <v>634</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635</v>
      </c>
      <c r="L30" s="601" t="s">
        <v>464</v>
      </c>
      <c r="M30" s="613"/>
      <c r="N30" s="607"/>
      <c r="O30" s="607"/>
      <c r="P30" s="607" t="s">
        <v>225</v>
      </c>
      <c r="Q30" s="607" t="s">
        <v>225</v>
      </c>
      <c r="R30" s="607" t="s">
        <v>225</v>
      </c>
      <c r="S30" s="607"/>
      <c r="T30" s="607" t="s">
        <v>225</v>
      </c>
      <c r="U30" s="607"/>
      <c r="V30" s="607"/>
      <c r="W30" s="607" t="s">
        <v>225</v>
      </c>
      <c r="X30" s="607" t="s">
        <v>225</v>
      </c>
      <c r="Y30" s="607" t="s">
        <v>225</v>
      </c>
      <c r="Z30" s="607" t="s">
        <v>225</v>
      </c>
      <c r="AA30" s="607"/>
      <c r="AB30" s="607"/>
      <c r="AC30" s="607"/>
      <c r="AD30" s="607" t="s">
        <v>225</v>
      </c>
      <c r="AE30" s="607" t="s">
        <v>225</v>
      </c>
      <c r="AF30" s="607"/>
      <c r="AG30" s="607" t="s">
        <v>410</v>
      </c>
      <c r="AH30" s="607" t="s">
        <v>410</v>
      </c>
      <c r="AI30" s="607"/>
      <c r="AJ30" s="607"/>
      <c r="AK30" s="607" t="s">
        <v>410</v>
      </c>
      <c r="AL30" s="607" t="s">
        <v>410</v>
      </c>
      <c r="AM30" s="607" t="s">
        <v>410</v>
      </c>
      <c r="AN30" s="607"/>
      <c r="AO30" s="607" t="s">
        <v>410</v>
      </c>
      <c r="AP30" s="607"/>
      <c r="AQ30" s="607"/>
      <c r="AR30" s="607" t="s">
        <v>410</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636</v>
      </c>
      <c r="L31" s="601" t="s">
        <v>464</v>
      </c>
      <c r="M31" s="613"/>
      <c r="N31" s="607" t="s">
        <v>225</v>
      </c>
      <c r="O31" s="607" t="s">
        <v>225</v>
      </c>
      <c r="P31" s="607" t="s">
        <v>225</v>
      </c>
      <c r="Q31" s="607" t="s">
        <v>225</v>
      </c>
      <c r="R31" s="607" t="s">
        <v>225</v>
      </c>
      <c r="S31" s="607" t="s">
        <v>225</v>
      </c>
      <c r="T31" s="607"/>
      <c r="U31" s="607" t="s">
        <v>225</v>
      </c>
      <c r="V31" s="607" t="s">
        <v>225</v>
      </c>
      <c r="W31" s="607" t="s">
        <v>225</v>
      </c>
      <c r="X31" s="607"/>
      <c r="Y31" s="607" t="s">
        <v>225</v>
      </c>
      <c r="Z31" s="607" t="s">
        <v>225</v>
      </c>
      <c r="AA31" s="607"/>
      <c r="AB31" s="607" t="s">
        <v>225</v>
      </c>
      <c r="AC31" s="607" t="s">
        <v>225</v>
      </c>
      <c r="AD31" s="607" t="s">
        <v>225</v>
      </c>
      <c r="AE31" s="607"/>
      <c r="AF31" s="607" t="s">
        <v>410</v>
      </c>
      <c r="AG31" s="607" t="s">
        <v>410</v>
      </c>
      <c r="AH31" s="607"/>
      <c r="AI31" s="607" t="s">
        <v>410</v>
      </c>
      <c r="AJ31" s="607" t="s">
        <v>410</v>
      </c>
      <c r="AK31" s="607" t="s">
        <v>410</v>
      </c>
      <c r="AL31" s="607" t="s">
        <v>410</v>
      </c>
      <c r="AM31" s="607"/>
      <c r="AN31" s="607" t="s">
        <v>410</v>
      </c>
      <c r="AO31" s="607" t="s">
        <v>410</v>
      </c>
      <c r="AP31" s="607" t="s">
        <v>410</v>
      </c>
      <c r="AQ31" s="607" t="s">
        <v>410</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637</v>
      </c>
      <c r="L32" s="601" t="s">
        <v>464</v>
      </c>
      <c r="M32" s="613"/>
      <c r="N32" s="607"/>
      <c r="O32" s="607"/>
      <c r="P32" s="607"/>
      <c r="Q32" s="607"/>
      <c r="R32" s="607"/>
      <c r="S32" s="607"/>
      <c r="T32" s="607" t="s">
        <v>225</v>
      </c>
      <c r="U32" s="607" t="s">
        <v>225</v>
      </c>
      <c r="V32" s="607"/>
      <c r="W32" s="607"/>
      <c r="X32" s="607"/>
      <c r="Y32" s="607"/>
      <c r="Z32" s="607"/>
      <c r="AA32" s="607" t="s">
        <v>225</v>
      </c>
      <c r="AB32" s="607"/>
      <c r="AC32" s="607"/>
      <c r="AD32" s="607"/>
      <c r="AE32" s="607"/>
      <c r="AF32" s="607"/>
      <c r="AG32" s="607"/>
      <c r="AH32" s="607" t="s">
        <v>225</v>
      </c>
      <c r="AI32" s="607"/>
      <c r="AJ32" s="607" t="s">
        <v>225</v>
      </c>
      <c r="AK32" s="607"/>
      <c r="AL32" s="607"/>
      <c r="AM32" s="607"/>
      <c r="AN32" s="607"/>
      <c r="AO32" s="607"/>
      <c r="AP32" s="607"/>
      <c r="AQ32" s="607" t="s">
        <v>225</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472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473</v>
      </c>
      <c r="L40" s="601" t="s">
        <v>464</v>
      </c>
      <c r="M40" s="602" t="s">
        <v>225</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451</v>
      </c>
      <c r="AT40" s="607" t="s">
        <v>451</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474</v>
      </c>
      <c r="L41" s="601" t="s">
        <v>464</v>
      </c>
      <c r="M41" s="602" t="s">
        <v>413</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451</v>
      </c>
      <c r="AT41" s="607" t="s">
        <v>451</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475</v>
      </c>
      <c r="L42" s="634" t="s">
        <v>476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451</v>
      </c>
      <c r="AT42" s="607" t="s">
        <v>451</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477</v>
      </c>
      <c r="L43" s="601" t="s">
        <v>476</v>
      </c>
      <c r="M43" s="602" t="s">
        <v>478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451</v>
      </c>
      <c r="AT43" s="607" t="s">
        <v>451</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479</v>
      </c>
      <c r="L44" s="601" t="s">
        <v>480</v>
      </c>
      <c r="M44" s="613"/>
      <c r="N44" s="607"/>
      <c r="O44" s="607" t="s">
        <v>481</v>
      </c>
      <c r="P44" s="607" t="s">
        <v>481</v>
      </c>
      <c r="Q44" s="607" t="s">
        <v>481</v>
      </c>
      <c r="R44" s="607" t="s">
        <v>481</v>
      </c>
      <c r="S44" s="607" t="s">
        <v>481</v>
      </c>
      <c r="T44" s="607"/>
      <c r="U44" s="607"/>
      <c r="V44" s="607" t="s">
        <v>481</v>
      </c>
      <c r="W44" s="607" t="s">
        <v>481</v>
      </c>
      <c r="X44" s="607" t="s">
        <v>481</v>
      </c>
      <c r="Y44" s="607" t="s">
        <v>481</v>
      </c>
      <c r="Z44" s="607" t="s">
        <v>481</v>
      </c>
      <c r="AA44" s="607"/>
      <c r="AB44" s="607"/>
      <c r="AC44" s="607" t="s">
        <v>481</v>
      </c>
      <c r="AD44" s="607" t="s">
        <v>481</v>
      </c>
      <c r="AE44" s="607" t="s">
        <v>481</v>
      </c>
      <c r="AF44" s="607" t="s">
        <v>481</v>
      </c>
      <c r="AG44" s="607" t="s">
        <v>481</v>
      </c>
      <c r="AH44" s="607"/>
      <c r="AI44" s="607"/>
      <c r="AJ44" s="607" t="s">
        <v>481</v>
      </c>
      <c r="AK44" s="607" t="s">
        <v>481</v>
      </c>
      <c r="AL44" s="607" t="s">
        <v>481</v>
      </c>
      <c r="AM44" s="607" t="s">
        <v>481</v>
      </c>
      <c r="AN44" s="607" t="s">
        <v>481</v>
      </c>
      <c r="AO44" s="607"/>
      <c r="AP44" s="607"/>
      <c r="AQ44" s="607" t="s">
        <v>481</v>
      </c>
      <c r="AR44" s="607" t="s">
        <v>481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482</v>
      </c>
      <c r="L45" s="601" t="s">
        <v>483</v>
      </c>
      <c r="M45" s="602" t="s">
        <v>484</v>
      </c>
      <c r="N45" s="607" t="s">
        <v>413</v>
      </c>
      <c r="O45" s="607"/>
      <c r="P45" s="607" t="s">
        <v>413</v>
      </c>
      <c r="Q45" s="607" t="s">
        <v>413</v>
      </c>
      <c r="R45" s="607" t="s">
        <v>413</v>
      </c>
      <c r="S45" s="607" t="s">
        <v>413</v>
      </c>
      <c r="T45" s="607" t="s">
        <v>413</v>
      </c>
      <c r="U45" s="607" t="s">
        <v>413</v>
      </c>
      <c r="V45" s="607"/>
      <c r="W45" s="607" t="s">
        <v>413</v>
      </c>
      <c r="X45" s="607" t="s">
        <v>413</v>
      </c>
      <c r="Y45" s="607" t="s">
        <v>413</v>
      </c>
      <c r="Z45" s="607" t="s">
        <v>413</v>
      </c>
      <c r="AA45" s="607" t="s">
        <v>413</v>
      </c>
      <c r="AB45" s="607" t="s">
        <v>413</v>
      </c>
      <c r="AC45" s="607"/>
      <c r="AD45" s="607" t="s">
        <v>413</v>
      </c>
      <c r="AE45" s="607" t="s">
        <v>413</v>
      </c>
      <c r="AF45" s="607" t="s">
        <v>413</v>
      </c>
      <c r="AG45" s="607" t="s">
        <v>413</v>
      </c>
      <c r="AH45" s="607" t="s">
        <v>413</v>
      </c>
      <c r="AI45" s="607" t="s">
        <v>413</v>
      </c>
      <c r="AJ45" s="607"/>
      <c r="AK45" s="607" t="s">
        <v>413</v>
      </c>
      <c r="AL45" s="607" t="s">
        <v>413</v>
      </c>
      <c r="AM45" s="607" t="s">
        <v>413</v>
      </c>
      <c r="AN45" s="607" t="s">
        <v>413</v>
      </c>
      <c r="AO45" s="607" t="s">
        <v>413</v>
      </c>
      <c r="AP45" s="607" t="s">
        <v>413</v>
      </c>
      <c r="AQ45" s="607"/>
      <c r="AR45" s="607" t="s">
        <v>413</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638</v>
      </c>
      <c r="L46" s="601" t="s">
        <v>483</v>
      </c>
      <c r="M46" s="602" t="s">
        <v>639</v>
      </c>
      <c r="N46" s="607"/>
      <c r="O46" s="607"/>
      <c r="P46" s="607"/>
      <c r="Q46" s="607"/>
      <c r="R46" s="607"/>
      <c r="S46" s="607"/>
      <c r="T46" s="607"/>
      <c r="U46" s="607"/>
      <c r="V46" s="607"/>
      <c r="W46" s="607"/>
      <c r="X46" s="607"/>
      <c r="Y46" s="607" t="s">
        <v>413</v>
      </c>
      <c r="Z46" s="607" t="s">
        <v>413</v>
      </c>
      <c r="AA46" s="607" t="s">
        <v>413</v>
      </c>
      <c r="AB46" s="607"/>
      <c r="AC46" s="607"/>
      <c r="AD46" s="607"/>
      <c r="AE46" s="607"/>
      <c r="AF46" s="607" t="s">
        <v>413</v>
      </c>
      <c r="AG46" s="607" t="s">
        <v>413</v>
      </c>
      <c r="AH46" s="607" t="s">
        <v>413</v>
      </c>
      <c r="AI46" s="607"/>
      <c r="AJ46" s="607"/>
      <c r="AK46" s="607"/>
      <c r="AL46" s="607"/>
      <c r="AM46" s="607" t="s">
        <v>413</v>
      </c>
      <c r="AN46" s="607" t="s">
        <v>413</v>
      </c>
      <c r="AO46" s="607" t="s">
        <v>413</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488</v>
      </c>
      <c r="L47" s="601" t="s">
        <v>489</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t="s">
        <v>225</v>
      </c>
      <c r="AQ47" s="607"/>
      <c r="AR47" s="607" t="s">
        <v>225</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491</v>
      </c>
      <c r="L48" s="601" t="s">
        <v>489</v>
      </c>
      <c r="M48" s="602" t="s">
        <v>490</v>
      </c>
      <c r="N48" s="607"/>
      <c r="O48" s="607"/>
      <c r="P48" s="607" t="s">
        <v>225</v>
      </c>
      <c r="Q48" s="607" t="s">
        <v>225</v>
      </c>
      <c r="R48" s="607"/>
      <c r="S48" s="607" t="s">
        <v>225</v>
      </c>
      <c r="T48" s="607"/>
      <c r="U48" s="607"/>
      <c r="V48" s="607"/>
      <c r="W48" s="607" t="s">
        <v>225</v>
      </c>
      <c r="X48" s="607" t="s">
        <v>225</v>
      </c>
      <c r="Y48" s="607"/>
      <c r="Z48" s="607" t="s">
        <v>225</v>
      </c>
      <c r="AA48" s="607" t="s">
        <v>225</v>
      </c>
      <c r="AB48" s="607"/>
      <c r="AC48" s="607"/>
      <c r="AD48" s="607" t="s">
        <v>225</v>
      </c>
      <c r="AE48" s="607" t="s">
        <v>225</v>
      </c>
      <c r="AF48" s="607"/>
      <c r="AG48" s="607"/>
      <c r="AH48" s="607" t="s">
        <v>225</v>
      </c>
      <c r="AI48" s="607"/>
      <c r="AJ48" s="607"/>
      <c r="AK48" s="607" t="s">
        <v>225</v>
      </c>
      <c r="AL48" s="607" t="s">
        <v>225</v>
      </c>
      <c r="AM48" s="607"/>
      <c r="AN48" s="607"/>
      <c r="AO48" s="607" t="s">
        <v>225</v>
      </c>
      <c r="AP48" s="607"/>
      <c r="AQ48" s="607"/>
      <c r="AR48" s="607" t="s">
        <v>225</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492</v>
      </c>
      <c r="L49" s="601" t="s">
        <v>489</v>
      </c>
      <c r="M49" s="613"/>
      <c r="N49" s="607"/>
      <c r="O49" s="607"/>
      <c r="P49" s="607"/>
      <c r="Q49" s="607"/>
      <c r="R49" s="607" t="s">
        <v>225</v>
      </c>
      <c r="S49" s="607" t="s">
        <v>225</v>
      </c>
      <c r="T49" s="607" t="s">
        <v>225</v>
      </c>
      <c r="U49" s="607"/>
      <c r="V49" s="607"/>
      <c r="W49" s="607"/>
      <c r="X49" s="607"/>
      <c r="Y49" s="607" t="s">
        <v>225</v>
      </c>
      <c r="Z49" s="607" t="s">
        <v>225</v>
      </c>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t="s">
        <v>225</v>
      </c>
      <c r="AQ50" s="603"/>
      <c r="AR50" s="607" t="s">
        <v>225</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t="s">
        <v>225</v>
      </c>
      <c r="AQ51" s="607" t="s">
        <v>225</v>
      </c>
      <c r="AR51" s="607" t="s">
        <v>225</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t="s">
        <v>225</v>
      </c>
      <c r="AQ52" s="607" t="s">
        <v>225</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496</v>
      </c>
      <c r="L53" s="601" t="s">
        <v>489</v>
      </c>
      <c r="M53" s="602"/>
      <c r="N53" s="607" t="s">
        <v>225</v>
      </c>
      <c r="O53" s="607" t="s">
        <v>225</v>
      </c>
      <c r="P53" s="607" t="s">
        <v>225</v>
      </c>
      <c r="Q53" s="607" t="s">
        <v>225</v>
      </c>
      <c r="R53" s="607" t="s">
        <v>225</v>
      </c>
      <c r="S53" s="607"/>
      <c r="T53" s="607"/>
      <c r="U53" s="607" t="s">
        <v>225</v>
      </c>
      <c r="V53" s="607" t="s">
        <v>225</v>
      </c>
      <c r="W53" s="607" t="s">
        <v>225</v>
      </c>
      <c r="X53" s="607" t="s">
        <v>225</v>
      </c>
      <c r="Y53" s="607" t="s">
        <v>225</v>
      </c>
      <c r="Z53" s="607"/>
      <c r="AA53" s="607"/>
      <c r="AB53" s="607" t="s">
        <v>225</v>
      </c>
      <c r="AC53" s="607" t="s">
        <v>225</v>
      </c>
      <c r="AD53" s="607" t="s">
        <v>225</v>
      </c>
      <c r="AE53" s="607" t="s">
        <v>225</v>
      </c>
      <c r="AF53" s="607" t="s">
        <v>225</v>
      </c>
      <c r="AG53" s="607"/>
      <c r="AH53" s="607"/>
      <c r="AI53" s="607" t="s">
        <v>225</v>
      </c>
      <c r="AJ53" s="607" t="s">
        <v>225</v>
      </c>
      <c r="AK53" s="607" t="s">
        <v>225</v>
      </c>
      <c r="AL53" s="607" t="s">
        <v>225</v>
      </c>
      <c r="AM53" s="607" t="s">
        <v>225</v>
      </c>
      <c r="AN53" s="607"/>
      <c r="AO53" s="607"/>
      <c r="AP53" s="607" t="s">
        <v>225</v>
      </c>
      <c r="AQ53" s="607" t="s">
        <v>225</v>
      </c>
      <c r="AR53" s="607" t="s">
        <v>225</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7" t="s">
        <v>225</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t="s">
        <v>225</v>
      </c>
      <c r="AQ55" s="607"/>
      <c r="AR55" s="607" t="s">
        <v>225</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t="s">
        <v>225</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7" t="s">
        <v>225</v>
      </c>
      <c r="AQ57" s="607" t="s">
        <v>225</v>
      </c>
      <c r="AR57" s="607" t="s">
        <v>225</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t="s">
        <v>225</v>
      </c>
      <c r="AR58" s="607" t="s">
        <v>225</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7" t="s">
        <v>225</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t="s">
        <v>225</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502</v>
      </c>
      <c r="L61" s="601" t="s">
        <v>489</v>
      </c>
      <c r="M61" s="613"/>
      <c r="N61" s="607" t="s">
        <v>225</v>
      </c>
      <c r="O61" s="607" t="s">
        <v>225</v>
      </c>
      <c r="P61" s="607" t="s">
        <v>225</v>
      </c>
      <c r="Q61" s="607" t="s">
        <v>225</v>
      </c>
      <c r="R61" s="607" t="s">
        <v>225</v>
      </c>
      <c r="S61" s="607"/>
      <c r="T61" s="607"/>
      <c r="U61" s="607" t="s">
        <v>225</v>
      </c>
      <c r="V61" s="607" t="s">
        <v>225</v>
      </c>
      <c r="W61" s="607" t="s">
        <v>225</v>
      </c>
      <c r="X61" s="607" t="s">
        <v>225</v>
      </c>
      <c r="Y61" s="607" t="s">
        <v>225</v>
      </c>
      <c r="Z61" s="607"/>
      <c r="AA61" s="607"/>
      <c r="AB61" s="607" t="s">
        <v>225</v>
      </c>
      <c r="AC61" s="607" t="s">
        <v>225</v>
      </c>
      <c r="AD61" s="607" t="s">
        <v>225</v>
      </c>
      <c r="AE61" s="607" t="s">
        <v>225</v>
      </c>
      <c r="AF61" s="607" t="s">
        <v>225</v>
      </c>
      <c r="AG61" s="607"/>
      <c r="AH61" s="607"/>
      <c r="AI61" s="607" t="s">
        <v>225</v>
      </c>
      <c r="AJ61" s="607" t="s">
        <v>225</v>
      </c>
      <c r="AK61" s="607" t="s">
        <v>225</v>
      </c>
      <c r="AL61" s="607" t="s">
        <v>225</v>
      </c>
      <c r="AM61" s="607" t="s">
        <v>225</v>
      </c>
      <c r="AN61" s="607"/>
      <c r="AO61" s="607"/>
      <c r="AP61" s="607" t="s">
        <v>225</v>
      </c>
      <c r="AQ61" s="607" t="s">
        <v>225</v>
      </c>
      <c r="AR61" s="607" t="s">
        <v>225</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503</v>
      </c>
      <c r="L62" s="601" t="s">
        <v>489</v>
      </c>
      <c r="M62" s="613"/>
      <c r="N62" s="607"/>
      <c r="O62" s="607" t="s">
        <v>225</v>
      </c>
      <c r="P62" s="607" t="s">
        <v>225</v>
      </c>
      <c r="Q62" s="607"/>
      <c r="R62" s="607" t="s">
        <v>225</v>
      </c>
      <c r="S62" s="607"/>
      <c r="T62" s="607"/>
      <c r="U62" s="607"/>
      <c r="V62" s="607" t="s">
        <v>225</v>
      </c>
      <c r="W62" s="607" t="s">
        <v>225</v>
      </c>
      <c r="X62" s="607"/>
      <c r="Y62" s="607" t="s">
        <v>225</v>
      </c>
      <c r="Z62" s="607"/>
      <c r="AA62" s="607"/>
      <c r="AB62" s="607"/>
      <c r="AC62" s="607" t="s">
        <v>225</v>
      </c>
      <c r="AD62" s="607" t="s">
        <v>225</v>
      </c>
      <c r="AE62" s="607"/>
      <c r="AF62" s="607" t="s">
        <v>225</v>
      </c>
      <c r="AG62" s="607"/>
      <c r="AH62" s="607"/>
      <c r="AI62" s="607"/>
      <c r="AJ62" s="607" t="s">
        <v>225</v>
      </c>
      <c r="AK62" s="607" t="s">
        <v>225</v>
      </c>
      <c r="AL62" s="607"/>
      <c r="AM62" s="607" t="s">
        <v>225</v>
      </c>
      <c r="AN62" s="607"/>
      <c r="AO62" s="607"/>
      <c r="AP62" s="607"/>
      <c r="AQ62" s="607" t="s">
        <v>225</v>
      </c>
      <c r="AR62" s="607" t="s">
        <v>225</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504</v>
      </c>
      <c r="L63" s="601" t="s">
        <v>489</v>
      </c>
      <c r="M63" s="602" t="s">
        <v>505</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506</v>
      </c>
      <c r="L64" s="601" t="s">
        <v>489</v>
      </c>
      <c r="M64" s="613"/>
      <c r="N64" s="603"/>
      <c r="O64" s="603"/>
      <c r="P64" s="607"/>
      <c r="Q64" s="603"/>
      <c r="R64" s="607" t="s">
        <v>225</v>
      </c>
      <c r="S64" s="607" t="s">
        <v>225</v>
      </c>
      <c r="T64" s="607"/>
      <c r="U64" s="607"/>
      <c r="V64" s="607"/>
      <c r="W64" s="607"/>
      <c r="X64" s="607" t="s">
        <v>225</v>
      </c>
      <c r="Y64" s="607" t="s">
        <v>225</v>
      </c>
      <c r="Z64" s="607" t="s">
        <v>225</v>
      </c>
      <c r="AA64" s="607"/>
      <c r="AB64" s="607"/>
      <c r="AC64" s="607"/>
      <c r="AD64" s="607"/>
      <c r="AE64" s="607" t="s">
        <v>225</v>
      </c>
      <c r="AF64" s="607" t="s">
        <v>225</v>
      </c>
      <c r="AG64" s="607"/>
      <c r="AH64" s="607"/>
      <c r="AI64" s="603"/>
      <c r="AJ64" s="603"/>
      <c r="AK64" s="607"/>
      <c r="AL64" s="607" t="s">
        <v>225</v>
      </c>
      <c r="AM64" s="607" t="s">
        <v>225</v>
      </c>
      <c r="AN64" s="607" t="s">
        <v>225</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507</v>
      </c>
      <c r="L65" s="601" t="s">
        <v>489</v>
      </c>
      <c r="M65" s="613"/>
      <c r="N65" s="607" t="s">
        <v>225</v>
      </c>
      <c r="O65" s="607" t="s">
        <v>225</v>
      </c>
      <c r="P65" s="603"/>
      <c r="Q65" s="603"/>
      <c r="R65" s="603"/>
      <c r="S65" s="607" t="s">
        <v>225</v>
      </c>
      <c r="T65" s="607" t="s">
        <v>225</v>
      </c>
      <c r="U65" s="607" t="s">
        <v>225</v>
      </c>
      <c r="V65" s="607" t="s">
        <v>225</v>
      </c>
      <c r="W65" s="607"/>
      <c r="X65" s="607"/>
      <c r="Y65" s="607"/>
      <c r="Z65" s="607" t="s">
        <v>225</v>
      </c>
      <c r="AA65" s="607" t="s">
        <v>225</v>
      </c>
      <c r="AB65" s="607" t="s">
        <v>225</v>
      </c>
      <c r="AC65" s="607" t="s">
        <v>225</v>
      </c>
      <c r="AD65" s="607"/>
      <c r="AE65" s="607"/>
      <c r="AF65" s="607"/>
      <c r="AG65" s="607" t="s">
        <v>225</v>
      </c>
      <c r="AH65" s="607" t="s">
        <v>225</v>
      </c>
      <c r="AI65" s="607" t="s">
        <v>225</v>
      </c>
      <c r="AJ65" s="607" t="s">
        <v>225</v>
      </c>
      <c r="AK65" s="603"/>
      <c r="AL65" s="603"/>
      <c r="AM65" s="603"/>
      <c r="AN65" s="607" t="s">
        <v>225</v>
      </c>
      <c r="AO65" s="607" t="s">
        <v>225</v>
      </c>
      <c r="AP65" s="607" t="s">
        <v>225</v>
      </c>
      <c r="AQ65" s="607" t="s">
        <v>225</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508</v>
      </c>
      <c r="L66" s="601" t="s">
        <v>489</v>
      </c>
      <c r="M66" s="613"/>
      <c r="N66" s="607" t="s">
        <v>225</v>
      </c>
      <c r="O66" s="607" t="s">
        <v>225</v>
      </c>
      <c r="P66" s="607" t="s">
        <v>225</v>
      </c>
      <c r="Q66" s="603"/>
      <c r="R66" s="607" t="s">
        <v>225</v>
      </c>
      <c r="S66" s="607" t="s">
        <v>225</v>
      </c>
      <c r="T66" s="607" t="s">
        <v>225</v>
      </c>
      <c r="U66" s="607" t="s">
        <v>225</v>
      </c>
      <c r="V66" s="607" t="s">
        <v>225</v>
      </c>
      <c r="W66" s="607" t="s">
        <v>225</v>
      </c>
      <c r="X66" s="603"/>
      <c r="Y66" s="607" t="s">
        <v>225</v>
      </c>
      <c r="Z66" s="607" t="s">
        <v>225</v>
      </c>
      <c r="AA66" s="607" t="s">
        <v>225</v>
      </c>
      <c r="AB66" s="607" t="s">
        <v>225</v>
      </c>
      <c r="AC66" s="607" t="s">
        <v>225</v>
      </c>
      <c r="AD66" s="607" t="s">
        <v>225</v>
      </c>
      <c r="AE66" s="603"/>
      <c r="AF66" s="607" t="s">
        <v>225</v>
      </c>
      <c r="AG66" s="607" t="s">
        <v>225</v>
      </c>
      <c r="AH66" s="607" t="s">
        <v>225</v>
      </c>
      <c r="AI66" s="607" t="s">
        <v>225</v>
      </c>
      <c r="AJ66" s="607" t="s">
        <v>225</v>
      </c>
      <c r="AK66" s="607" t="s">
        <v>225</v>
      </c>
      <c r="AL66" s="603"/>
      <c r="AM66" s="607" t="s">
        <v>225</v>
      </c>
      <c r="AN66" s="607" t="s">
        <v>225</v>
      </c>
      <c r="AO66" s="607" t="s">
        <v>225</v>
      </c>
      <c r="AP66" s="607" t="s">
        <v>225</v>
      </c>
      <c r="AQ66" s="607" t="s">
        <v>225</v>
      </c>
      <c r="AR66" s="607" t="s">
        <v>225</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489</v>
      </c>
      <c r="M67" s="613"/>
      <c r="N67" s="607"/>
      <c r="O67" s="607"/>
      <c r="P67" s="607" t="s">
        <v>225</v>
      </c>
      <c r="Q67" s="607" t="s">
        <v>225</v>
      </c>
      <c r="R67" s="607" t="s">
        <v>225</v>
      </c>
      <c r="S67" s="607" t="s">
        <v>225</v>
      </c>
      <c r="T67" s="607"/>
      <c r="U67" s="607"/>
      <c r="V67" s="607"/>
      <c r="W67" s="607" t="s">
        <v>225</v>
      </c>
      <c r="X67" s="607" t="s">
        <v>225</v>
      </c>
      <c r="Y67" s="607" t="s">
        <v>225</v>
      </c>
      <c r="Z67" s="607" t="s">
        <v>225</v>
      </c>
      <c r="AA67" s="607"/>
      <c r="AB67" s="607"/>
      <c r="AC67" s="607"/>
      <c r="AD67" s="607" t="s">
        <v>225</v>
      </c>
      <c r="AE67" s="607" t="s">
        <v>225</v>
      </c>
      <c r="AF67" s="607" t="s">
        <v>225</v>
      </c>
      <c r="AG67" s="607" t="s">
        <v>430</v>
      </c>
      <c r="AH67" s="607"/>
      <c r="AI67" s="607"/>
      <c r="AJ67" s="607"/>
      <c r="AK67" s="607" t="s">
        <v>225</v>
      </c>
      <c r="AL67" s="607" t="s">
        <v>225</v>
      </c>
      <c r="AM67" s="607" t="s">
        <v>225</v>
      </c>
      <c r="AN67" s="607" t="s">
        <v>225</v>
      </c>
      <c r="AO67" s="607"/>
      <c r="AP67" s="603"/>
      <c r="AQ67" s="603"/>
      <c r="AR67" s="607" t="s">
        <v>225</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489</v>
      </c>
      <c r="M68" s="613"/>
      <c r="N68" s="607" t="s">
        <v>225</v>
      </c>
      <c r="O68" s="607" t="s">
        <v>225</v>
      </c>
      <c r="P68" s="607" t="s">
        <v>225</v>
      </c>
      <c r="Q68" s="607" t="s">
        <v>225</v>
      </c>
      <c r="R68" s="607"/>
      <c r="S68" s="607" t="s">
        <v>225</v>
      </c>
      <c r="T68" s="607" t="s">
        <v>225</v>
      </c>
      <c r="U68" s="607" t="s">
        <v>225</v>
      </c>
      <c r="V68" s="607" t="s">
        <v>225</v>
      </c>
      <c r="W68" s="607" t="s">
        <v>225</v>
      </c>
      <c r="X68" s="607" t="s">
        <v>225</v>
      </c>
      <c r="Y68" s="607"/>
      <c r="Z68" s="607" t="s">
        <v>225</v>
      </c>
      <c r="AA68" s="607" t="s">
        <v>225</v>
      </c>
      <c r="AB68" s="607" t="s">
        <v>225</v>
      </c>
      <c r="AC68" s="607" t="s">
        <v>225</v>
      </c>
      <c r="AD68" s="607" t="s">
        <v>225</v>
      </c>
      <c r="AE68" s="607" t="s">
        <v>225</v>
      </c>
      <c r="AF68" s="607"/>
      <c r="AG68" s="607" t="s">
        <v>225</v>
      </c>
      <c r="AH68" s="607" t="s">
        <v>225</v>
      </c>
      <c r="AI68" s="607" t="s">
        <v>225</v>
      </c>
      <c r="AJ68" s="607" t="s">
        <v>225</v>
      </c>
      <c r="AK68" s="607" t="s">
        <v>225</v>
      </c>
      <c r="AL68" s="607" t="s">
        <v>225</v>
      </c>
      <c r="AM68" s="607"/>
      <c r="AN68" s="607" t="s">
        <v>225</v>
      </c>
      <c r="AO68" s="607" t="s">
        <v>225</v>
      </c>
      <c r="AP68" s="607" t="s">
        <v>225</v>
      </c>
      <c r="AQ68" s="607" t="s">
        <v>225</v>
      </c>
      <c r="AR68" s="607" t="s">
        <v>225</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509</v>
      </c>
      <c r="L69" s="601" t="s">
        <v>489</v>
      </c>
      <c r="M69" s="602"/>
      <c r="N69" s="607" t="s">
        <v>225</v>
      </c>
      <c r="O69" s="607" t="s">
        <v>225</v>
      </c>
      <c r="P69" s="607"/>
      <c r="Q69" s="607"/>
      <c r="R69" s="607"/>
      <c r="S69" s="607"/>
      <c r="T69" s="607" t="s">
        <v>225</v>
      </c>
      <c r="U69" s="607" t="s">
        <v>225</v>
      </c>
      <c r="V69" s="607" t="s">
        <v>225</v>
      </c>
      <c r="W69" s="607"/>
      <c r="X69" s="607"/>
      <c r="Y69" s="607"/>
      <c r="Z69" s="607"/>
      <c r="AA69" s="607" t="s">
        <v>225</v>
      </c>
      <c r="AB69" s="607" t="s">
        <v>225</v>
      </c>
      <c r="AC69" s="607" t="s">
        <v>225</v>
      </c>
      <c r="AD69" s="607"/>
      <c r="AE69" s="607"/>
      <c r="AF69" s="607"/>
      <c r="AG69" s="607"/>
      <c r="AH69" s="607" t="s">
        <v>225</v>
      </c>
      <c r="AI69" s="607" t="s">
        <v>225</v>
      </c>
      <c r="AJ69" s="607" t="s">
        <v>225</v>
      </c>
      <c r="AK69" s="607"/>
      <c r="AL69" s="607"/>
      <c r="AM69" s="607"/>
      <c r="AN69" s="607"/>
      <c r="AO69" s="607" t="s">
        <v>225</v>
      </c>
      <c r="AP69" s="607" t="s">
        <v>225</v>
      </c>
      <c r="AQ69" s="607" t="s">
        <v>225</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640</v>
      </c>
      <c r="L70" s="601" t="s">
        <v>489</v>
      </c>
      <c r="M70" s="613"/>
      <c r="N70" s="607" t="s">
        <v>225</v>
      </c>
      <c r="O70" s="607"/>
      <c r="P70" s="607"/>
      <c r="Q70" s="607"/>
      <c r="R70" s="607" t="s">
        <v>225</v>
      </c>
      <c r="S70" s="607"/>
      <c r="T70" s="607" t="s">
        <v>225</v>
      </c>
      <c r="U70" s="607" t="s">
        <v>225</v>
      </c>
      <c r="V70" s="607"/>
      <c r="W70" s="607"/>
      <c r="X70" s="607"/>
      <c r="Y70" s="607" t="s">
        <v>225</v>
      </c>
      <c r="Z70" s="607"/>
      <c r="AA70" s="607" t="s">
        <v>225</v>
      </c>
      <c r="AB70" s="607" t="s">
        <v>225</v>
      </c>
      <c r="AC70" s="607"/>
      <c r="AD70" s="607"/>
      <c r="AE70" s="607"/>
      <c r="AF70" s="607" t="s">
        <v>225</v>
      </c>
      <c r="AG70" s="607"/>
      <c r="AH70" s="607" t="s">
        <v>225</v>
      </c>
      <c r="AI70" s="607" t="s">
        <v>225</v>
      </c>
      <c r="AJ70" s="607"/>
      <c r="AK70" s="607"/>
      <c r="AL70" s="607"/>
      <c r="AM70" s="607" t="s">
        <v>225</v>
      </c>
      <c r="AN70" s="607"/>
      <c r="AO70" s="607" t="s">
        <v>225</v>
      </c>
      <c r="AP70" s="607" t="s">
        <v>225</v>
      </c>
      <c r="AQ70" s="607" t="s">
        <v>487</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510</v>
      </c>
      <c r="L71" s="601" t="s">
        <v>489</v>
      </c>
      <c r="M71" s="613"/>
      <c r="N71" s="607" t="s">
        <v>225</v>
      </c>
      <c r="O71" s="607" t="s">
        <v>225</v>
      </c>
      <c r="P71" s="607" t="s">
        <v>225</v>
      </c>
      <c r="Q71" s="607" t="s">
        <v>225</v>
      </c>
      <c r="R71" s="607"/>
      <c r="S71" s="607" t="s">
        <v>225</v>
      </c>
      <c r="T71" s="607" t="s">
        <v>225</v>
      </c>
      <c r="U71" s="607" t="s">
        <v>225</v>
      </c>
      <c r="V71" s="607" t="s">
        <v>225</v>
      </c>
      <c r="W71" s="607" t="s">
        <v>225</v>
      </c>
      <c r="X71" s="607" t="s">
        <v>225</v>
      </c>
      <c r="Y71" s="607"/>
      <c r="Z71" s="607" t="s">
        <v>225</v>
      </c>
      <c r="AA71" s="607" t="s">
        <v>225</v>
      </c>
      <c r="AB71" s="607" t="s">
        <v>225</v>
      </c>
      <c r="AC71" s="607" t="s">
        <v>225</v>
      </c>
      <c r="AD71" s="607" t="s">
        <v>225</v>
      </c>
      <c r="AE71" s="607" t="s">
        <v>225</v>
      </c>
      <c r="AF71" s="607"/>
      <c r="AG71" s="607" t="s">
        <v>225</v>
      </c>
      <c r="AH71" s="607" t="s">
        <v>225</v>
      </c>
      <c r="AI71" s="607" t="s">
        <v>225</v>
      </c>
      <c r="AJ71" s="607" t="s">
        <v>225</v>
      </c>
      <c r="AK71" s="607" t="s">
        <v>225</v>
      </c>
      <c r="AL71" s="607" t="s">
        <v>225</v>
      </c>
      <c r="AM71" s="607"/>
      <c r="AN71" s="607" t="s">
        <v>225</v>
      </c>
      <c r="AO71" s="607" t="s">
        <v>225</v>
      </c>
      <c r="AP71" s="607" t="s">
        <v>225</v>
      </c>
      <c r="AQ71" s="607" t="s">
        <v>225</v>
      </c>
      <c r="AR71" s="607" t="s">
        <v>225</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513</v>
      </c>
      <c r="L72" s="601" t="s">
        <v>489</v>
      </c>
      <c r="M72" s="613"/>
      <c r="N72" s="607" t="s">
        <v>225</v>
      </c>
      <c r="O72" s="607" t="s">
        <v>225</v>
      </c>
      <c r="P72" s="607" t="s">
        <v>430</v>
      </c>
      <c r="Q72" s="607" t="s">
        <v>225</v>
      </c>
      <c r="R72" s="607" t="s">
        <v>225</v>
      </c>
      <c r="S72" s="607"/>
      <c r="T72" s="607" t="s">
        <v>225</v>
      </c>
      <c r="U72" s="607" t="s">
        <v>225</v>
      </c>
      <c r="V72" s="607" t="s">
        <v>225</v>
      </c>
      <c r="W72" s="607" t="s">
        <v>225</v>
      </c>
      <c r="X72" s="607" t="s">
        <v>225</v>
      </c>
      <c r="Y72" s="607" t="s">
        <v>225</v>
      </c>
      <c r="Z72" s="607"/>
      <c r="AA72" s="607" t="s">
        <v>225</v>
      </c>
      <c r="AB72" s="607" t="s">
        <v>225</v>
      </c>
      <c r="AC72" s="607" t="s">
        <v>225</v>
      </c>
      <c r="AD72" s="607" t="s">
        <v>225</v>
      </c>
      <c r="AE72" s="607" t="s">
        <v>225</v>
      </c>
      <c r="AF72" s="607" t="s">
        <v>225</v>
      </c>
      <c r="AG72" s="607"/>
      <c r="AH72" s="607" t="s">
        <v>225</v>
      </c>
      <c r="AI72" s="607" t="s">
        <v>225</v>
      </c>
      <c r="AJ72" s="607" t="s">
        <v>225</v>
      </c>
      <c r="AK72" s="607" t="s">
        <v>225</v>
      </c>
      <c r="AL72" s="607" t="s">
        <v>225</v>
      </c>
      <c r="AM72" s="607" t="s">
        <v>225</v>
      </c>
      <c r="AN72" s="607"/>
      <c r="AO72" s="607" t="s">
        <v>225</v>
      </c>
      <c r="AP72" s="607" t="s">
        <v>225</v>
      </c>
      <c r="AQ72" s="607" t="s">
        <v>225</v>
      </c>
      <c r="AR72" s="607" t="s">
        <v>225</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514</v>
      </c>
      <c r="L73" s="601" t="s">
        <v>489</v>
      </c>
      <c r="M73" s="602" t="s">
        <v>490</v>
      </c>
      <c r="N73" s="607" t="s">
        <v>225</v>
      </c>
      <c r="O73" s="607" t="s">
        <v>413</v>
      </c>
      <c r="P73" s="607" t="s">
        <v>225</v>
      </c>
      <c r="Q73" s="607" t="s">
        <v>225</v>
      </c>
      <c r="R73" s="607" t="s">
        <v>225</v>
      </c>
      <c r="S73" s="607" t="s">
        <v>225</v>
      </c>
      <c r="T73" s="607" t="s">
        <v>225</v>
      </c>
      <c r="U73" s="607" t="s">
        <v>225</v>
      </c>
      <c r="V73" s="607" t="s">
        <v>413</v>
      </c>
      <c r="W73" s="607"/>
      <c r="X73" s="607" t="s">
        <v>225</v>
      </c>
      <c r="Y73" s="607" t="s">
        <v>225</v>
      </c>
      <c r="Z73" s="607" t="s">
        <v>225</v>
      </c>
      <c r="AA73" s="607" t="s">
        <v>225</v>
      </c>
      <c r="AB73" s="607" t="s">
        <v>225</v>
      </c>
      <c r="AC73" s="607" t="s">
        <v>413</v>
      </c>
      <c r="AD73" s="607"/>
      <c r="AE73" s="607" t="s">
        <v>225</v>
      </c>
      <c r="AF73" s="607" t="s">
        <v>225</v>
      </c>
      <c r="AG73" s="607" t="s">
        <v>225</v>
      </c>
      <c r="AH73" s="607" t="s">
        <v>225</v>
      </c>
      <c r="AI73" s="607" t="s">
        <v>225</v>
      </c>
      <c r="AJ73" s="607" t="s">
        <v>413</v>
      </c>
      <c r="AK73" s="607"/>
      <c r="AL73" s="607" t="s">
        <v>225</v>
      </c>
      <c r="AM73" s="607" t="s">
        <v>225</v>
      </c>
      <c r="AN73" s="607" t="s">
        <v>225</v>
      </c>
      <c r="AO73" s="607" t="s">
        <v>225</v>
      </c>
      <c r="AP73" s="607" t="s">
        <v>225</v>
      </c>
      <c r="AQ73" s="607" t="s">
        <v>413</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489</v>
      </c>
      <c r="M74" s="613"/>
      <c r="N74" s="607" t="s">
        <v>225</v>
      </c>
      <c r="O74" s="607" t="s">
        <v>225</v>
      </c>
      <c r="P74" s="607" t="s">
        <v>225</v>
      </c>
      <c r="Q74" s="603"/>
      <c r="R74" s="607" t="s">
        <v>225</v>
      </c>
      <c r="S74" s="607"/>
      <c r="T74" s="607"/>
      <c r="U74" s="607"/>
      <c r="V74" s="607" t="s">
        <v>225</v>
      </c>
      <c r="W74" s="607" t="s">
        <v>225</v>
      </c>
      <c r="X74" s="607"/>
      <c r="Y74" s="607" t="s">
        <v>225</v>
      </c>
      <c r="Z74" s="607"/>
      <c r="AA74" s="607"/>
      <c r="AB74" s="607"/>
      <c r="AC74" s="607" t="s">
        <v>225</v>
      </c>
      <c r="AD74" s="607" t="s">
        <v>225</v>
      </c>
      <c r="AE74" s="607"/>
      <c r="AF74" s="607" t="s">
        <v>225</v>
      </c>
      <c r="AG74" s="607"/>
      <c r="AH74" s="607"/>
      <c r="AI74" s="607"/>
      <c r="AJ74" s="607" t="s">
        <v>225</v>
      </c>
      <c r="AK74" s="607" t="s">
        <v>225</v>
      </c>
      <c r="AL74" s="603"/>
      <c r="AM74" s="607" t="s">
        <v>225</v>
      </c>
      <c r="AN74" s="607"/>
      <c r="AO74" s="607"/>
      <c r="AP74" s="607"/>
      <c r="AQ74" s="607" t="s">
        <v>225</v>
      </c>
      <c r="AR74" s="607" t="s">
        <v>225</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515</v>
      </c>
      <c r="L75" s="601" t="s">
        <v>489</v>
      </c>
      <c r="M75" s="613"/>
      <c r="N75" s="607" t="s">
        <v>225</v>
      </c>
      <c r="O75" s="607" t="s">
        <v>225</v>
      </c>
      <c r="P75" s="603"/>
      <c r="Q75" s="603"/>
      <c r="R75" s="603"/>
      <c r="S75" s="607" t="s">
        <v>225</v>
      </c>
      <c r="T75" s="607" t="s">
        <v>225</v>
      </c>
      <c r="U75" s="607" t="s">
        <v>225</v>
      </c>
      <c r="V75" s="607" t="s">
        <v>225</v>
      </c>
      <c r="W75" s="603"/>
      <c r="X75" s="603"/>
      <c r="Y75" s="603"/>
      <c r="Z75" s="607" t="s">
        <v>225</v>
      </c>
      <c r="AA75" s="607" t="s">
        <v>225</v>
      </c>
      <c r="AB75" s="607" t="s">
        <v>225</v>
      </c>
      <c r="AC75" s="607" t="s">
        <v>225</v>
      </c>
      <c r="AD75" s="603"/>
      <c r="AE75" s="603"/>
      <c r="AF75" s="603"/>
      <c r="AG75" s="607" t="s">
        <v>225</v>
      </c>
      <c r="AH75" s="607" t="s">
        <v>225</v>
      </c>
      <c r="AI75" s="607" t="s">
        <v>225</v>
      </c>
      <c r="AJ75" s="607" t="s">
        <v>225</v>
      </c>
      <c r="AK75" s="603"/>
      <c r="AL75" s="603"/>
      <c r="AM75" s="603"/>
      <c r="AN75" s="607" t="s">
        <v>225</v>
      </c>
      <c r="AO75" s="607" t="s">
        <v>225</v>
      </c>
      <c r="AP75" s="607" t="s">
        <v>225</v>
      </c>
      <c r="AQ75" s="607" t="s">
        <v>225</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516</v>
      </c>
      <c r="L76" s="601" t="s">
        <v>489</v>
      </c>
      <c r="M76" s="613"/>
      <c r="N76" s="607"/>
      <c r="O76" s="607"/>
      <c r="P76" s="607" t="s">
        <v>225</v>
      </c>
      <c r="Q76" s="607" t="s">
        <v>225</v>
      </c>
      <c r="R76" s="607"/>
      <c r="S76" s="607" t="s">
        <v>225</v>
      </c>
      <c r="T76" s="607"/>
      <c r="U76" s="607"/>
      <c r="V76" s="607"/>
      <c r="W76" s="607" t="s">
        <v>225</v>
      </c>
      <c r="X76" s="607" t="s">
        <v>225</v>
      </c>
      <c r="Y76" s="607"/>
      <c r="Z76" s="607" t="s">
        <v>225</v>
      </c>
      <c r="AA76" s="607"/>
      <c r="AB76" s="607"/>
      <c r="AC76" s="607"/>
      <c r="AD76" s="607" t="s">
        <v>225</v>
      </c>
      <c r="AE76" s="607" t="s">
        <v>225</v>
      </c>
      <c r="AF76" s="607"/>
      <c r="AG76" s="607" t="s">
        <v>225</v>
      </c>
      <c r="AH76" s="607"/>
      <c r="AI76" s="607"/>
      <c r="AJ76" s="607"/>
      <c r="AK76" s="607" t="s">
        <v>225</v>
      </c>
      <c r="AL76" s="607" t="s">
        <v>225</v>
      </c>
      <c r="AM76" s="607"/>
      <c r="AN76" s="607" t="s">
        <v>225</v>
      </c>
      <c r="AO76" s="607"/>
      <c r="AP76" s="603"/>
      <c r="AQ76" s="603"/>
      <c r="AR76" s="607" t="s">
        <v>225</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489</v>
      </c>
      <c r="M77" s="613"/>
      <c r="N77" s="607" t="s">
        <v>225</v>
      </c>
      <c r="O77" s="607" t="s">
        <v>225</v>
      </c>
      <c r="P77" s="607"/>
      <c r="Q77" s="607"/>
      <c r="R77" s="607" t="s">
        <v>225</v>
      </c>
      <c r="S77" s="607" t="s">
        <v>225</v>
      </c>
      <c r="T77" s="607"/>
      <c r="U77" s="607" t="s">
        <v>225</v>
      </c>
      <c r="V77" s="607" t="s">
        <v>225</v>
      </c>
      <c r="W77" s="607"/>
      <c r="X77" s="607"/>
      <c r="Y77" s="607" t="s">
        <v>225</v>
      </c>
      <c r="Z77" s="607" t="s">
        <v>225</v>
      </c>
      <c r="AA77" s="607"/>
      <c r="AB77" s="607" t="s">
        <v>225</v>
      </c>
      <c r="AC77" s="607" t="s">
        <v>225</v>
      </c>
      <c r="AD77" s="607"/>
      <c r="AE77" s="607"/>
      <c r="AF77" s="607" t="s">
        <v>225</v>
      </c>
      <c r="AG77" s="607" t="s">
        <v>225</v>
      </c>
      <c r="AH77" s="607"/>
      <c r="AI77" s="607" t="s">
        <v>225</v>
      </c>
      <c r="AJ77" s="607" t="s">
        <v>225</v>
      </c>
      <c r="AK77" s="607"/>
      <c r="AL77" s="607"/>
      <c r="AM77" s="607" t="s">
        <v>225</v>
      </c>
      <c r="AN77" s="607" t="s">
        <v>225</v>
      </c>
      <c r="AO77" s="607"/>
      <c r="AP77" s="607" t="s">
        <v>225</v>
      </c>
      <c r="AQ77" s="607" t="s">
        <v>225</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517</v>
      </c>
      <c r="L78" s="601" t="s">
        <v>489</v>
      </c>
      <c r="M78" s="613"/>
      <c r="N78" s="607" t="s">
        <v>225</v>
      </c>
      <c r="O78" s="607" t="s">
        <v>225</v>
      </c>
      <c r="P78" s="607"/>
      <c r="Q78" s="607"/>
      <c r="R78" s="607"/>
      <c r="S78" s="607"/>
      <c r="T78" s="607" t="s">
        <v>225</v>
      </c>
      <c r="U78" s="607" t="s">
        <v>225</v>
      </c>
      <c r="V78" s="607" t="s">
        <v>225</v>
      </c>
      <c r="W78" s="607"/>
      <c r="X78" s="607"/>
      <c r="Y78" s="607"/>
      <c r="Z78" s="607"/>
      <c r="AA78" s="607" t="s">
        <v>225</v>
      </c>
      <c r="AB78" s="607" t="s">
        <v>225</v>
      </c>
      <c r="AC78" s="607" t="s">
        <v>225</v>
      </c>
      <c r="AD78" s="607"/>
      <c r="AE78" s="607"/>
      <c r="AF78" s="607"/>
      <c r="AG78" s="607"/>
      <c r="AH78" s="607" t="s">
        <v>225</v>
      </c>
      <c r="AI78" s="607" t="s">
        <v>225</v>
      </c>
      <c r="AJ78" s="607" t="s">
        <v>225</v>
      </c>
      <c r="AK78" s="607"/>
      <c r="AL78" s="607"/>
      <c r="AM78" s="607"/>
      <c r="AN78" s="607"/>
      <c r="AO78" s="607" t="s">
        <v>225</v>
      </c>
      <c r="AP78" s="607" t="s">
        <v>225</v>
      </c>
      <c r="AQ78" s="607" t="s">
        <v>225</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489</v>
      </c>
      <c r="M79" s="613"/>
      <c r="N79" s="607"/>
      <c r="O79" s="607" t="s">
        <v>225</v>
      </c>
      <c r="P79" s="607" t="s">
        <v>225</v>
      </c>
      <c r="Q79" s="607" t="s">
        <v>225</v>
      </c>
      <c r="R79" s="607"/>
      <c r="S79" s="607"/>
      <c r="T79" s="607"/>
      <c r="U79" s="607"/>
      <c r="V79" s="607" t="s">
        <v>225</v>
      </c>
      <c r="W79" s="607" t="s">
        <v>225</v>
      </c>
      <c r="X79" s="607" t="s">
        <v>225</v>
      </c>
      <c r="Y79" s="607"/>
      <c r="Z79" s="607"/>
      <c r="AA79" s="607"/>
      <c r="AB79" s="607"/>
      <c r="AC79" s="607" t="s">
        <v>225</v>
      </c>
      <c r="AD79" s="607" t="s">
        <v>225</v>
      </c>
      <c r="AE79" s="607" t="s">
        <v>225</v>
      </c>
      <c r="AF79" s="607"/>
      <c r="AG79" s="607"/>
      <c r="AH79" s="607"/>
      <c r="AI79" s="607"/>
      <c r="AJ79" s="607" t="s">
        <v>225</v>
      </c>
      <c r="AK79" s="607" t="s">
        <v>225</v>
      </c>
      <c r="AL79" s="607" t="s">
        <v>225</v>
      </c>
      <c r="AM79" s="607"/>
      <c r="AN79" s="607"/>
      <c r="AO79" s="607"/>
      <c r="AP79" s="603"/>
      <c r="AQ79" s="607" t="s">
        <v>225</v>
      </c>
      <c r="AR79" s="607" t="s">
        <v>225</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489</v>
      </c>
      <c r="M80" s="613"/>
      <c r="N80" s="607"/>
      <c r="O80" s="607" t="s">
        <v>225</v>
      </c>
      <c r="P80" s="607" t="s">
        <v>225</v>
      </c>
      <c r="Q80" s="607" t="s">
        <v>225</v>
      </c>
      <c r="R80" s="607" t="s">
        <v>225</v>
      </c>
      <c r="S80" s="607" t="s">
        <v>225</v>
      </c>
      <c r="T80" s="607" t="s">
        <v>225</v>
      </c>
      <c r="U80" s="607"/>
      <c r="V80" s="607" t="s">
        <v>225</v>
      </c>
      <c r="W80" s="607" t="s">
        <v>225</v>
      </c>
      <c r="X80" s="607" t="s">
        <v>225</v>
      </c>
      <c r="Y80" s="607" t="s">
        <v>225</v>
      </c>
      <c r="Z80" s="607" t="s">
        <v>225</v>
      </c>
      <c r="AA80" s="607" t="s">
        <v>225</v>
      </c>
      <c r="AB80" s="607"/>
      <c r="AC80" s="607" t="s">
        <v>225</v>
      </c>
      <c r="AD80" s="607" t="s">
        <v>225</v>
      </c>
      <c r="AE80" s="607" t="s">
        <v>225</v>
      </c>
      <c r="AF80" s="607" t="s">
        <v>225</v>
      </c>
      <c r="AG80" s="607" t="s">
        <v>225</v>
      </c>
      <c r="AH80" s="607" t="s">
        <v>225</v>
      </c>
      <c r="AI80" s="607"/>
      <c r="AJ80" s="607" t="s">
        <v>225</v>
      </c>
      <c r="AK80" s="607" t="s">
        <v>225</v>
      </c>
      <c r="AL80" s="607" t="s">
        <v>225</v>
      </c>
      <c r="AM80" s="607" t="s">
        <v>225</v>
      </c>
      <c r="AN80" s="607" t="s">
        <v>225</v>
      </c>
      <c r="AO80" s="607" t="s">
        <v>225</v>
      </c>
      <c r="AP80" s="603"/>
      <c r="AQ80" s="607" t="s">
        <v>225</v>
      </c>
      <c r="AR80" s="607" t="s">
        <v>225</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489</v>
      </c>
      <c r="M81" s="613"/>
      <c r="N81" s="607" t="s">
        <v>225</v>
      </c>
      <c r="O81" s="607" t="s">
        <v>225</v>
      </c>
      <c r="P81" s="607" t="s">
        <v>225</v>
      </c>
      <c r="Q81" s="607" t="s">
        <v>225</v>
      </c>
      <c r="R81" s="607" t="s">
        <v>225</v>
      </c>
      <c r="S81" s="607" t="s">
        <v>225</v>
      </c>
      <c r="T81" s="607" t="s">
        <v>225</v>
      </c>
      <c r="U81" s="607" t="s">
        <v>225</v>
      </c>
      <c r="V81" s="607" t="s">
        <v>225</v>
      </c>
      <c r="W81" s="607"/>
      <c r="X81" s="607" t="s">
        <v>225</v>
      </c>
      <c r="Y81" s="607" t="s">
        <v>225</v>
      </c>
      <c r="Z81" s="607" t="s">
        <v>225</v>
      </c>
      <c r="AA81" s="607" t="s">
        <v>225</v>
      </c>
      <c r="AB81" s="607" t="s">
        <v>225</v>
      </c>
      <c r="AC81" s="607" t="s">
        <v>430</v>
      </c>
      <c r="AD81" s="607"/>
      <c r="AE81" s="607" t="s">
        <v>225</v>
      </c>
      <c r="AF81" s="607" t="s">
        <v>225</v>
      </c>
      <c r="AG81" s="607" t="s">
        <v>225</v>
      </c>
      <c r="AH81" s="607" t="s">
        <v>225</v>
      </c>
      <c r="AI81" s="607" t="s">
        <v>225</v>
      </c>
      <c r="AJ81" s="607" t="s">
        <v>225</v>
      </c>
      <c r="AK81" s="607"/>
      <c r="AL81" s="607" t="s">
        <v>225</v>
      </c>
      <c r="AM81" s="607" t="s">
        <v>225</v>
      </c>
      <c r="AN81" s="607" t="s">
        <v>225</v>
      </c>
      <c r="AO81" s="607" t="s">
        <v>225</v>
      </c>
      <c r="AP81" s="607" t="s">
        <v>225</v>
      </c>
      <c r="AQ81" s="607" t="s">
        <v>225</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641</v>
      </c>
      <c r="L82" s="601" t="s">
        <v>521</v>
      </c>
      <c r="M82" s="613"/>
      <c r="N82" s="603"/>
      <c r="O82" s="603"/>
      <c r="P82" s="603"/>
      <c r="Q82" s="603"/>
      <c r="R82" s="607" t="s">
        <v>225</v>
      </c>
      <c r="S82" s="603"/>
      <c r="T82" s="603"/>
      <c r="U82" s="607"/>
      <c r="V82" s="607" t="s">
        <v>225</v>
      </c>
      <c r="W82" s="607" t="s">
        <v>225</v>
      </c>
      <c r="X82" s="607" t="s">
        <v>225</v>
      </c>
      <c r="Y82" s="607"/>
      <c r="Z82" s="607"/>
      <c r="AA82" s="607"/>
      <c r="AB82" s="607"/>
      <c r="AC82" s="607" t="s">
        <v>225</v>
      </c>
      <c r="AD82" s="607" t="s">
        <v>225</v>
      </c>
      <c r="AE82" s="607" t="s">
        <v>225</v>
      </c>
      <c r="AF82" s="607"/>
      <c r="AG82" s="603"/>
      <c r="AH82" s="603"/>
      <c r="AI82" s="603"/>
      <c r="AJ82" s="607" t="s">
        <v>225</v>
      </c>
      <c r="AK82" s="607" t="s">
        <v>225</v>
      </c>
      <c r="AL82" s="607" t="s">
        <v>225</v>
      </c>
      <c r="AM82" s="603"/>
      <c r="AN82" s="603"/>
      <c r="AO82" s="603"/>
      <c r="AP82" s="603"/>
      <c r="AQ82" s="607" t="s">
        <v>225</v>
      </c>
      <c r="AR82" s="607" t="s">
        <v>225</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642</v>
      </c>
      <c r="L83" s="601" t="s">
        <v>521</v>
      </c>
      <c r="M83" s="613"/>
      <c r="N83" s="603"/>
      <c r="O83" s="603"/>
      <c r="P83" s="603"/>
      <c r="Q83" s="603"/>
      <c r="R83" s="607" t="s">
        <v>225</v>
      </c>
      <c r="S83" s="603"/>
      <c r="T83" s="603"/>
      <c r="U83" s="603"/>
      <c r="V83" s="607" t="s">
        <v>225</v>
      </c>
      <c r="W83" s="607" t="s">
        <v>225</v>
      </c>
      <c r="X83" s="607" t="s">
        <v>225</v>
      </c>
      <c r="Y83" s="603"/>
      <c r="Z83" s="603"/>
      <c r="AA83" s="603"/>
      <c r="AB83" s="603"/>
      <c r="AC83" s="607" t="s">
        <v>225</v>
      </c>
      <c r="AD83" s="607" t="s">
        <v>225</v>
      </c>
      <c r="AE83" s="607" t="s">
        <v>225</v>
      </c>
      <c r="AF83" s="603"/>
      <c r="AG83" s="603"/>
      <c r="AH83" s="603"/>
      <c r="AI83" s="603"/>
      <c r="AJ83" s="607" t="s">
        <v>225</v>
      </c>
      <c r="AK83" s="607" t="s">
        <v>225</v>
      </c>
      <c r="AL83" s="607" t="s">
        <v>225</v>
      </c>
      <c r="AM83" s="603"/>
      <c r="AN83" s="603"/>
      <c r="AO83" s="603"/>
      <c r="AP83" s="603"/>
      <c r="AQ83" s="607" t="s">
        <v>225</v>
      </c>
      <c r="AR83" s="607" t="s">
        <v>225</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643</v>
      </c>
      <c r="L84" s="601" t="s">
        <v>521</v>
      </c>
      <c r="M84" s="613"/>
      <c r="N84" s="607"/>
      <c r="O84" s="607"/>
      <c r="P84" s="607"/>
      <c r="Q84" s="607"/>
      <c r="R84" s="607" t="s">
        <v>225</v>
      </c>
      <c r="S84" s="607"/>
      <c r="T84" s="607"/>
      <c r="U84" s="607"/>
      <c r="V84" s="607" t="s">
        <v>225</v>
      </c>
      <c r="W84" s="607" t="s">
        <v>225</v>
      </c>
      <c r="X84" s="607" t="s">
        <v>225</v>
      </c>
      <c r="Y84" s="607"/>
      <c r="Z84" s="607"/>
      <c r="AA84" s="607"/>
      <c r="AB84" s="607"/>
      <c r="AC84" s="607" t="s">
        <v>225</v>
      </c>
      <c r="AD84" s="607" t="s">
        <v>225</v>
      </c>
      <c r="AE84" s="607" t="s">
        <v>225</v>
      </c>
      <c r="AF84" s="607"/>
      <c r="AG84" s="607"/>
      <c r="AH84" s="607"/>
      <c r="AI84" s="607"/>
      <c r="AJ84" s="607" t="s">
        <v>225</v>
      </c>
      <c r="AK84" s="607" t="s">
        <v>225</v>
      </c>
      <c r="AL84" s="607" t="s">
        <v>225</v>
      </c>
      <c r="AM84" s="607"/>
      <c r="AN84" s="607"/>
      <c r="AO84" s="607"/>
      <c r="AP84" s="603"/>
      <c r="AQ84" s="607" t="s">
        <v>225</v>
      </c>
      <c r="AR84" s="607" t="s">
        <v>225</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518</v>
      </c>
      <c r="L85" s="601" t="s">
        <v>521</v>
      </c>
      <c r="M85" s="613"/>
      <c r="N85" s="607"/>
      <c r="O85" s="607"/>
      <c r="P85" s="607"/>
      <c r="Q85" s="607"/>
      <c r="R85" s="607"/>
      <c r="S85" s="607"/>
      <c r="T85" s="607" t="s">
        <v>225</v>
      </c>
      <c r="U85" s="607"/>
      <c r="V85" s="607" t="s">
        <v>225</v>
      </c>
      <c r="W85" s="607"/>
      <c r="X85" s="607" t="s">
        <v>225</v>
      </c>
      <c r="Y85" s="607" t="s">
        <v>225</v>
      </c>
      <c r="Z85" s="607" t="s">
        <v>225</v>
      </c>
      <c r="AA85" s="607" t="s">
        <v>225</v>
      </c>
      <c r="AB85" s="607"/>
      <c r="AC85" s="607" t="s">
        <v>225</v>
      </c>
      <c r="AD85" s="607"/>
      <c r="AE85" s="607" t="s">
        <v>225</v>
      </c>
      <c r="AF85" s="607" t="s">
        <v>225</v>
      </c>
      <c r="AG85" s="607" t="s">
        <v>225</v>
      </c>
      <c r="AH85" s="607" t="s">
        <v>225</v>
      </c>
      <c r="AI85" s="607"/>
      <c r="AJ85" s="607" t="s">
        <v>225</v>
      </c>
      <c r="AK85" s="607"/>
      <c r="AL85" s="607" t="s">
        <v>225</v>
      </c>
      <c r="AM85" s="607" t="s">
        <v>225</v>
      </c>
      <c r="AN85" s="607" t="s">
        <v>225</v>
      </c>
      <c r="AO85" s="607" t="s">
        <v>225</v>
      </c>
      <c r="AP85" s="603"/>
      <c r="AQ85" s="607" t="s">
        <v>225</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521</v>
      </c>
      <c r="M86" s="613"/>
      <c r="N86" s="607"/>
      <c r="O86" s="607"/>
      <c r="P86" s="607"/>
      <c r="Q86" s="607"/>
      <c r="R86" s="607"/>
      <c r="S86" s="607"/>
      <c r="T86" s="607"/>
      <c r="U86" s="607"/>
      <c r="V86" s="607" t="s">
        <v>225</v>
      </c>
      <c r="W86" s="607"/>
      <c r="X86" s="607"/>
      <c r="Y86" s="607" t="s">
        <v>225</v>
      </c>
      <c r="Z86" s="607"/>
      <c r="AA86" s="607"/>
      <c r="AB86" s="607" t="s">
        <v>225</v>
      </c>
      <c r="AC86" s="607" t="s">
        <v>225</v>
      </c>
      <c r="AD86" s="607"/>
      <c r="AE86" s="607"/>
      <c r="AF86" s="607" t="s">
        <v>225</v>
      </c>
      <c r="AG86" s="607"/>
      <c r="AH86" s="607"/>
      <c r="AI86" s="607" t="s">
        <v>225</v>
      </c>
      <c r="AJ86" s="607" t="s">
        <v>225</v>
      </c>
      <c r="AK86" s="607"/>
      <c r="AL86" s="607"/>
      <c r="AM86" s="607" t="s">
        <v>225</v>
      </c>
      <c r="AN86" s="607"/>
      <c r="AO86" s="607"/>
      <c r="AP86" s="607" t="s">
        <v>225</v>
      </c>
      <c r="AQ86" s="607" t="s">
        <v>225</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521</v>
      </c>
      <c r="M87" s="613"/>
      <c r="N87" s="607"/>
      <c r="O87" s="607"/>
      <c r="P87" s="607"/>
      <c r="Q87" s="607"/>
      <c r="R87" s="607"/>
      <c r="S87" s="607"/>
      <c r="T87" s="607"/>
      <c r="U87" s="607"/>
      <c r="V87" s="607" t="s">
        <v>225</v>
      </c>
      <c r="W87" s="607"/>
      <c r="X87" s="607" t="s">
        <v>225</v>
      </c>
      <c r="Y87" s="607" t="s">
        <v>225</v>
      </c>
      <c r="Z87" s="607"/>
      <c r="AA87" s="607"/>
      <c r="AB87" s="607"/>
      <c r="AC87" s="607" t="s">
        <v>225</v>
      </c>
      <c r="AD87" s="607"/>
      <c r="AE87" s="607" t="s">
        <v>225</v>
      </c>
      <c r="AF87" s="607" t="s">
        <v>225</v>
      </c>
      <c r="AG87" s="607"/>
      <c r="AH87" s="607"/>
      <c r="AI87" s="607"/>
      <c r="AJ87" s="607" t="s">
        <v>225</v>
      </c>
      <c r="AK87" s="607"/>
      <c r="AL87" s="607" t="s">
        <v>225</v>
      </c>
      <c r="AM87" s="607" t="s">
        <v>225</v>
      </c>
      <c r="AN87" s="607"/>
      <c r="AO87" s="607"/>
      <c r="AP87" s="603"/>
      <c r="AQ87" s="607" t="s">
        <v>225</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519</v>
      </c>
      <c r="L88" s="601" t="s">
        <v>521</v>
      </c>
      <c r="M88" s="602" t="s">
        <v>644</v>
      </c>
      <c r="N88" s="607"/>
      <c r="O88" s="607"/>
      <c r="P88" s="607"/>
      <c r="Q88" s="607"/>
      <c r="R88" s="607"/>
      <c r="S88" s="607"/>
      <c r="T88" s="607"/>
      <c r="U88" s="607"/>
      <c r="V88" s="607"/>
      <c r="W88" s="607"/>
      <c r="X88" s="607"/>
      <c r="Y88" s="607"/>
      <c r="Z88" s="607"/>
      <c r="AA88" s="607"/>
      <c r="AB88" s="607"/>
      <c r="AC88" s="607" t="s">
        <v>225</v>
      </c>
      <c r="AD88" s="607"/>
      <c r="AE88" s="607" t="s">
        <v>225</v>
      </c>
      <c r="AF88" s="607"/>
      <c r="AG88" s="607" t="s">
        <v>225</v>
      </c>
      <c r="AH88" s="607" t="s">
        <v>225</v>
      </c>
      <c r="AI88" s="607" t="s">
        <v>225</v>
      </c>
      <c r="AJ88" s="607" t="s">
        <v>225</v>
      </c>
      <c r="AK88" s="607"/>
      <c r="AL88" s="607" t="s">
        <v>225</v>
      </c>
      <c r="AM88" s="607"/>
      <c r="AN88" s="607" t="s">
        <v>225</v>
      </c>
      <c r="AO88" s="607" t="s">
        <v>225</v>
      </c>
      <c r="AP88" s="607" t="s">
        <v>225</v>
      </c>
      <c r="AQ88" s="607" t="s">
        <v>225</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520</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225</v>
      </c>
      <c r="AN89" s="607"/>
      <c r="AO89" s="607"/>
      <c r="AP89" s="607" t="s">
        <v>225</v>
      </c>
      <c r="AQ89" s="607" t="s">
        <v>225</v>
      </c>
      <c r="AR89" s="607" t="s">
        <v>225</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645</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46082.0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3</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550</v>
      </c>
      <c r="G9" s="702" t="s">
        <v>646</v>
      </c>
      <c r="H9" s="703"/>
      <c r="I9" s="704">
        <v>0.6666666666666666</v>
      </c>
      <c r="J9" s="703">
        <v>23.0</v>
      </c>
      <c r="K9" s="703">
        <v>6.0</v>
      </c>
      <c r="L9" s="705" t="s">
        <v>647</v>
      </c>
      <c r="M9" s="705" t="s">
        <v>648</v>
      </c>
      <c r="N9" s="703">
        <v>223.0</v>
      </c>
      <c r="O9" s="706"/>
      <c r="Q9" s="707"/>
      <c r="R9" s="642"/>
      <c r="S9" s="213" t="str">
        <f t="array" ref="S9">IFERROR(INDEX('💻シート作成'!$D$6:$D1001, MATCH(T9, '💻シート作成'!$E$6:$E1001, 0)), "")</f>
        <v/>
      </c>
      <c r="T9" s="164" t="str">
        <f>IFERROR(__xludf.DUMMYFUNCTION("""COMPUTED_VALUE"""),"🔵クレーム")</f>
        <v>🔵クレーム</v>
      </c>
      <c r="U9" s="648"/>
      <c r="V9" s="890" t="s">
        <v>463</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649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493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507</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465</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506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647</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467</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495</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496</v>
      </c>
      <c r="W18" s="695"/>
      <c r="X18" s="696">
        <v>46357.0</v>
      </c>
      <c r="Y18" s="640"/>
      <c r="Z18" s="640"/>
    </row>
    <row r="19" ht="18.0" hidden="1" customHeight="1" outlineLevel="1">
      <c r="B19" s="717"/>
      <c r="C19" s="676"/>
      <c r="D19" s="676"/>
      <c r="E19" s="676"/>
      <c r="F19" s="718" t="s">
        <v>552</v>
      </c>
      <c r="G19" s="719" t="s">
        <v>650</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497</v>
      </c>
      <c r="W19" s="695"/>
      <c r="X19" s="696">
        <v>46388.0</v>
      </c>
      <c r="Y19" s="640"/>
      <c r="Z19" s="640"/>
    </row>
    <row r="20" hidden="1" outlineLevel="1">
      <c r="A20" s="640"/>
      <c r="B20" s="722"/>
      <c r="C20" s="723">
        <f>IF(C9="","",IF(DAY(C9+1)=1,"",C9+1))</f>
        <v>46083</v>
      </c>
      <c r="D20" s="724" t="str">
        <f>TEXT(C20,"ddd")</f>
        <v>月</v>
      </c>
      <c r="E20" s="725"/>
      <c r="F20" s="726" t="s">
        <v>550</v>
      </c>
      <c r="G20" s="727" t="s">
        <v>651</v>
      </c>
      <c r="H20" s="728">
        <v>1.0</v>
      </c>
      <c r="I20" s="729">
        <v>0.6041666666666666</v>
      </c>
      <c r="J20" s="728">
        <v>18.0</v>
      </c>
      <c r="K20" s="728">
        <v>5.0</v>
      </c>
      <c r="L20" s="730" t="s">
        <v>132</v>
      </c>
      <c r="M20" s="730" t="s">
        <v>652</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118</v>
      </c>
      <c r="W20" s="695"/>
      <c r="X20" s="696"/>
      <c r="Y20" s="640"/>
      <c r="Z20" s="640"/>
    </row>
    <row r="21" hidden="1" outlineLevel="1">
      <c r="A21" s="640"/>
      <c r="B21" s="708"/>
      <c r="C21" s="709"/>
      <c r="D21" s="709"/>
      <c r="E21" s="709"/>
      <c r="F21" s="709"/>
      <c r="G21" s="710"/>
      <c r="H21" s="709"/>
      <c r="I21" s="709"/>
      <c r="J21" s="709"/>
      <c r="K21" s="709"/>
      <c r="L21" s="733" t="s">
        <v>462</v>
      </c>
      <c r="M21" s="733" t="s">
        <v>648</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498</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211</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499</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131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653</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501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502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654</v>
      </c>
      <c r="W29" s="640"/>
      <c r="X29" s="735"/>
      <c r="Y29" s="640"/>
      <c r="Z29" s="640"/>
    </row>
    <row r="30" ht="18.0" hidden="1" customHeight="1" outlineLevel="1">
      <c r="A30" s="640"/>
      <c r="B30" s="717"/>
      <c r="C30" s="676"/>
      <c r="D30" s="676"/>
      <c r="E30" s="676"/>
      <c r="F30" s="736" t="s">
        <v>552</v>
      </c>
      <c r="G30" s="737" t="s">
        <v>655</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503</v>
      </c>
      <c r="W30" s="640"/>
      <c r="X30" s="735"/>
      <c r="Y30" s="640"/>
      <c r="Z30" s="640"/>
    </row>
    <row r="31" hidden="1" outlineLevel="1">
      <c r="A31" s="640"/>
      <c r="B31" s="739"/>
      <c r="C31" s="740">
        <f>IF(C20="","",IF(DAY(C20+1)=1,"",C20+1))</f>
        <v>46084</v>
      </c>
      <c r="D31" s="741" t="str">
        <f>TEXT(C31,"ddd")</f>
        <v>火</v>
      </c>
      <c r="E31" s="742"/>
      <c r="F31" s="743" t="s">
        <v>556</v>
      </c>
      <c r="G31" s="702" t="s">
        <v>656</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479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657</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469</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466</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508</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482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162</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174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510</v>
      </c>
      <c r="W40" s="640"/>
      <c r="X40" s="735"/>
      <c r="Y40" s="640"/>
      <c r="Z40" s="640"/>
    </row>
    <row r="41" ht="18.0" hidden="1" customHeight="1" outlineLevel="1">
      <c r="A41" s="640"/>
      <c r="B41" s="717"/>
      <c r="C41" s="676"/>
      <c r="D41" s="676"/>
      <c r="E41" s="676"/>
      <c r="F41" s="718" t="s">
        <v>552</v>
      </c>
      <c r="G41" s="719" t="s">
        <v>659</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640</v>
      </c>
      <c r="W41" s="640"/>
      <c r="X41" s="735"/>
      <c r="Y41" s="640"/>
      <c r="Z41" s="640"/>
    </row>
    <row r="42" hidden="1" outlineLevel="1">
      <c r="A42" s="640"/>
      <c r="B42" s="722"/>
      <c r="C42" s="723">
        <f>IF(C31="","",IF(DAY(C31+1)=1,"",C31+1))</f>
        <v>46085</v>
      </c>
      <c r="D42" s="724" t="str">
        <f>TEXT(C42,"ddd")</f>
        <v>水</v>
      </c>
      <c r="E42" s="725"/>
      <c r="F42" s="752" t="s">
        <v>556</v>
      </c>
      <c r="G42" s="727" t="s">
        <v>660</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509</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187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513</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173</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514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471</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112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459</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515</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517</v>
      </c>
      <c r="W51" s="640"/>
      <c r="X51" s="735"/>
      <c r="Y51" s="640"/>
      <c r="Z51" s="640"/>
    </row>
    <row r="52" ht="18.0" hidden="1" customHeight="1" outlineLevel="1">
      <c r="A52" s="640"/>
      <c r="B52" s="717"/>
      <c r="C52" s="676"/>
      <c r="D52" s="676"/>
      <c r="E52" s="676"/>
      <c r="F52" s="736" t="s">
        <v>552</v>
      </c>
      <c r="G52" s="737" t="s">
        <v>437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516</v>
      </c>
      <c r="W52" s="640"/>
      <c r="X52" s="735"/>
      <c r="Y52" s="640"/>
      <c r="Z52" s="640"/>
    </row>
    <row r="53" hidden="1" outlineLevel="1">
      <c r="A53" s="640"/>
      <c r="B53" s="739"/>
      <c r="C53" s="740">
        <f>IF(C42="","",IF(DAY(C42+1)=1,"",C42+1))</f>
        <v>46086</v>
      </c>
      <c r="D53" s="741" t="str">
        <f>TEXT(C53,"ddd")</f>
        <v>木</v>
      </c>
      <c r="E53" s="742"/>
      <c r="F53" s="743" t="s">
        <v>550</v>
      </c>
      <c r="G53" s="702" t="s">
        <v>661</v>
      </c>
      <c r="H53" s="745"/>
      <c r="I53" s="746">
        <v>0.6666666666666666</v>
      </c>
      <c r="J53" s="745">
        <v>25.0</v>
      </c>
      <c r="K53" s="745">
        <v>9.0</v>
      </c>
      <c r="L53" s="747" t="s">
        <v>459</v>
      </c>
      <c r="M53" s="747" t="s">
        <v>648</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168</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132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204</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140</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182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462</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t="s">
        <v>643</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642</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641</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662</v>
      </c>
      <c r="W62" s="640"/>
      <c r="X62" s="735"/>
      <c r="Y62" s="640"/>
      <c r="Z62" s="640"/>
    </row>
    <row r="63" ht="18.0" hidden="1" customHeight="1" outlineLevel="1">
      <c r="A63" s="640"/>
      <c r="B63" s="717"/>
      <c r="C63" s="676"/>
      <c r="D63" s="676"/>
      <c r="E63" s="676"/>
      <c r="F63" s="718" t="s">
        <v>552</v>
      </c>
      <c r="G63" s="719" t="s">
        <v>663</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664</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205</v>
      </c>
      <c r="W64" s="640"/>
      <c r="X64" s="735"/>
      <c r="Y64" s="640"/>
      <c r="Z64" s="640"/>
    </row>
    <row r="65" ht="17.25" hidden="1" customHeight="1" outlineLevel="1">
      <c r="A65" s="640"/>
      <c r="B65" s="722"/>
      <c r="C65" s="723">
        <f>IF(C53="","",IF(DAY(C53+1)=1,"",C53+1))</f>
        <v>46087</v>
      </c>
      <c r="D65" s="724" t="str">
        <f>TEXT(C65,"ddd")</f>
        <v>金</v>
      </c>
      <c r="E65" s="725"/>
      <c r="F65" s="752" t="s">
        <v>550</v>
      </c>
      <c r="G65" s="753" t="s">
        <v>665</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188</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638</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519</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t="s">
        <v>523</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666</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667</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668</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669</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890" t="s">
        <v>670</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504</v>
      </c>
      <c r="W74" s="640"/>
      <c r="X74" s="735"/>
      <c r="Y74" s="640"/>
      <c r="Z74" s="640"/>
    </row>
    <row r="75" ht="18.0" hidden="1" customHeight="1" outlineLevel="1">
      <c r="A75" s="640"/>
      <c r="B75" s="717"/>
      <c r="C75" s="676"/>
      <c r="D75" s="676"/>
      <c r="E75" s="676"/>
      <c r="F75" s="736" t="s">
        <v>552</v>
      </c>
      <c r="G75" s="737" t="s">
        <v>671</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672</v>
      </c>
      <c r="W75" s="640"/>
      <c r="X75" s="735"/>
      <c r="Y75" s="640"/>
      <c r="Z75" s="640"/>
    </row>
    <row r="76" hidden="1" outlineLevel="1">
      <c r="A76" s="640"/>
      <c r="B76" s="739"/>
      <c r="C76" s="740">
        <f>IF(C65="","",IF(DAY(C65+1)=1,"",C65+1))</f>
        <v>46088</v>
      </c>
      <c r="D76" s="741" t="str">
        <f>TEXT(C76,"ddd")</f>
        <v>土</v>
      </c>
      <c r="E76" s="742"/>
      <c r="F76" s="743" t="s">
        <v>550</v>
      </c>
      <c r="G76" s="744" t="s">
        <v>673</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674</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468</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518</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675</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676</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t="s">
        <v>520</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677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550</v>
      </c>
      <c r="G87" s="753" t="s">
        <v>678</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679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556</v>
      </c>
      <c r="G98" s="744" t="s">
        <v>680</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681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550</v>
      </c>
      <c r="G109" s="753" t="s">
        <v>682</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683</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550</v>
      </c>
      <c r="G121" s="744" t="s">
        <v>684</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685</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550</v>
      </c>
      <c r="G132" s="753" t="s">
        <v>686</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687</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550</v>
      </c>
      <c r="G143" s="744" t="s">
        <v>688</v>
      </c>
      <c r="H143" s="745"/>
      <c r="I143" s="746">
        <v>0.6145833333333334</v>
      </c>
      <c r="J143" s="745">
        <v>23.0</v>
      </c>
      <c r="K143" s="745">
        <v>5.0</v>
      </c>
      <c r="L143" s="747" t="s">
        <v>174</v>
      </c>
      <c r="M143" s="747" t="s">
        <v>689</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462</v>
      </c>
      <c r="M144" s="747" t="s">
        <v>690</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691</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556</v>
      </c>
      <c r="G154" s="753" t="s">
        <v>692</v>
      </c>
      <c r="H154" s="754">
        <v>1.0</v>
      </c>
      <c r="I154" s="755">
        <v>0.6458333333333334</v>
      </c>
      <c r="J154" s="754">
        <v>24.0</v>
      </c>
      <c r="K154" s="754">
        <v>4.0</v>
      </c>
      <c r="L154" s="733" t="s">
        <v>466</v>
      </c>
      <c r="M154" s="733" t="s">
        <v>648</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662</v>
      </c>
      <c r="M155" s="733" t="s">
        <v>648</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693</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550</v>
      </c>
      <c r="G165" s="744" t="s">
        <v>694</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695</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550</v>
      </c>
      <c r="G177" s="753" t="s">
        <v>696</v>
      </c>
      <c r="H177" s="754"/>
      <c r="I177" s="755">
        <v>0.6666666666666666</v>
      </c>
      <c r="J177" s="754">
        <v>25.0</v>
      </c>
      <c r="K177" s="754">
        <v>4.0</v>
      </c>
      <c r="L177" s="733" t="s">
        <v>459</v>
      </c>
      <c r="M177" s="733" t="s">
        <v>697</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698</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550</v>
      </c>
      <c r="G188" s="744" t="s">
        <v>699</v>
      </c>
      <c r="H188" s="745"/>
      <c r="I188" s="746">
        <v>0.625</v>
      </c>
      <c r="J188" s="745">
        <v>23.0</v>
      </c>
      <c r="K188" s="745">
        <v>6.0</v>
      </c>
      <c r="L188" s="747" t="s">
        <v>459</v>
      </c>
      <c r="M188" s="747" t="s">
        <v>697</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700</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550</v>
      </c>
      <c r="G199" s="753" t="s">
        <v>701</v>
      </c>
      <c r="H199" s="754">
        <v>1.0</v>
      </c>
      <c r="I199" s="755">
        <v>0.6666666666666666</v>
      </c>
      <c r="J199" s="754">
        <v>21.0</v>
      </c>
      <c r="K199" s="754">
        <v>7.0</v>
      </c>
      <c r="L199" s="733" t="s">
        <v>506</v>
      </c>
      <c r="M199" s="733" t="s">
        <v>702</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702</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653</v>
      </c>
      <c r="M201" s="733" t="s">
        <v>702</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643</v>
      </c>
      <c r="M202" s="733" t="s">
        <v>703</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704</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550</v>
      </c>
      <c r="G210" s="744" t="s">
        <v>705</v>
      </c>
      <c r="H210" s="745"/>
      <c r="I210" s="746">
        <v>0.65625</v>
      </c>
      <c r="J210" s="745">
        <v>20.0</v>
      </c>
      <c r="K210" s="745">
        <v>6.0</v>
      </c>
      <c r="L210" s="747" t="s">
        <v>174</v>
      </c>
      <c r="M210" s="747" t="s">
        <v>706</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640</v>
      </c>
      <c r="M211" s="747" t="s">
        <v>648</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707</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556</v>
      </c>
      <c r="G221" s="753" t="s">
        <v>708</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709</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550</v>
      </c>
      <c r="G233" s="744" t="s">
        <v>710</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711</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550</v>
      </c>
      <c r="G244" s="753" t="s">
        <v>712</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713</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556</v>
      </c>
      <c r="G255" s="744" t="s">
        <v>714</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715</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716</v>
      </c>
      <c r="G266" s="753" t="s">
        <v>717</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718</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719</v>
      </c>
      <c r="G277" s="744" t="s">
        <v>720</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721</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556</v>
      </c>
      <c r="G289" s="753" t="s">
        <v>722</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520</v>
      </c>
      <c r="M292" s="733" t="s">
        <v>648</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723</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556</v>
      </c>
      <c r="G300" s="744" t="s">
        <v>724</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725</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550</v>
      </c>
      <c r="G311" s="753" t="s">
        <v>726</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727</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550</v>
      </c>
      <c r="G322" s="744" t="s">
        <v>728</v>
      </c>
      <c r="H322" s="745"/>
      <c r="I322" s="746">
        <v>0.6458333333333334</v>
      </c>
      <c r="J322" s="745">
        <v>26.0</v>
      </c>
      <c r="K322" s="745">
        <v>4.0</v>
      </c>
      <c r="L322" s="747" t="s">
        <v>468</v>
      </c>
      <c r="M322" s="747" t="s">
        <v>729</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552</v>
      </c>
      <c r="G332" s="719" t="s">
        <v>730</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550</v>
      </c>
      <c r="G333" s="753" t="s">
        <v>731</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552</v>
      </c>
      <c r="G343" s="737" t="s">
        <v>732</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550</v>
      </c>
      <c r="G344" s="744" t="s">
        <v>733</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552</v>
      </c>
      <c r="G354" s="769" t="s">
        <v>734</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581</v>
      </c>
      <c r="C4" s="783"/>
      <c r="D4" s="784" t="s">
        <v>582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583</v>
      </c>
      <c r="G5" s="789" t="s">
        <v>221</v>
      </c>
      <c r="H5" s="790" t="b">
        <v>1</v>
      </c>
      <c r="J5" s="791"/>
      <c r="K5" s="775"/>
      <c r="L5" s="792" t="s">
        <v>584</v>
      </c>
      <c r="T5" s="791"/>
      <c r="U5" s="793" t="s">
        <v>585</v>
      </c>
      <c r="AC5" s="776"/>
      <c r="AD5" s="794" t="s">
        <v>96</v>
      </c>
      <c r="AE5" s="794" t="s">
        <v>586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587</v>
      </c>
      <c r="M7" s="221"/>
      <c r="N7" s="221"/>
      <c r="O7" s="221"/>
      <c r="P7" s="221"/>
      <c r="Q7" s="221"/>
      <c r="R7" s="221"/>
      <c r="S7" s="106"/>
      <c r="T7" s="798" t="s">
        <v>588</v>
      </c>
      <c r="U7" s="799" t="s">
        <v>589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590</v>
      </c>
      <c r="C8" s="801"/>
      <c r="D8" s="802" t="s">
        <v>51</v>
      </c>
      <c r="E8" s="803" t="str">
        <f>IFERROR(__xludf.DUMMYFUNCTION("IFERROR(INDEX(FILTER($AE$6:$AE$200, $AD$6:$AD$200=$B$5, REGEXMATCH($AE$6:$AE$200, ""集計"")), 1), """")
"),"①R8_3集計")</f>
        <v>①R8_3集計</v>
      </c>
      <c r="F8" s="490"/>
      <c r="G8" s="208"/>
      <c r="H8" s="208"/>
      <c r="I8" s="185"/>
      <c r="J8" s="791"/>
      <c r="K8" s="775"/>
      <c r="L8" s="804" t="s">
        <v>735</v>
      </c>
      <c r="M8" s="232"/>
      <c r="N8" s="232"/>
      <c r="O8" s="232"/>
      <c r="P8" s="232"/>
      <c r="Q8" s="232"/>
      <c r="R8" s="232"/>
      <c r="S8" s="235"/>
      <c r="U8" s="804" t="s">
        <v>736</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0.2944315419</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4400397.167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591</v>
      </c>
      <c r="C13" s="821"/>
      <c r="D13" s="822" t="s">
        <v>51</v>
      </c>
      <c r="E13" s="823" t="s">
        <v>592</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595</v>
      </c>
      <c r="C20" s="807" t="s">
        <v>596</v>
      </c>
      <c r="D20" s="807" t="s">
        <v>89</v>
      </c>
      <c r="E20" s="807" t="s">
        <v>90</v>
      </c>
      <c r="F20" s="807" t="s">
        <v>597</v>
      </c>
      <c r="G20" s="807" t="s">
        <v>451</v>
      </c>
      <c r="H20" s="807" t="s">
        <v>451</v>
      </c>
      <c r="I20" s="807" t="s">
        <v>598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599</v>
      </c>
      <c r="M21" s="217"/>
      <c r="N21" s="217"/>
      <c r="O21" s="217"/>
      <c r="P21" s="217"/>
      <c r="Q21" s="217"/>
      <c r="R21" s="217"/>
      <c r="S21" s="2"/>
      <c r="T21" s="798" t="s">
        <v>588</v>
      </c>
      <c r="U21" s="799" t="s">
        <v>600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737</v>
      </c>
      <c r="M22" s="232"/>
      <c r="N22" s="232"/>
      <c r="O22" s="232"/>
      <c r="P22" s="232"/>
      <c r="Q22" s="232"/>
      <c r="R22" s="232"/>
      <c r="S22" s="235"/>
      <c r="U22" s="804" t="s">
        <v>738</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602</v>
      </c>
      <c r="C25" s="847" t="s">
        <v>603</v>
      </c>
      <c r="D25" s="2"/>
      <c r="E25" s="847" t="s">
        <v>604</v>
      </c>
      <c r="F25" s="217"/>
      <c r="G25" s="217"/>
      <c r="H25" s="847" t="s">
        <v>605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739</v>
      </c>
      <c r="C26" s="849" t="s">
        <v>90</v>
      </c>
      <c r="D26" s="2"/>
      <c r="E26" s="849" t="s">
        <v>740</v>
      </c>
      <c r="F26" s="217"/>
      <c r="G26" s="217"/>
      <c r="H26" s="850" t="s">
        <v>741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742</v>
      </c>
      <c r="C27" s="849" t="s">
        <v>89</v>
      </c>
      <c r="D27" s="2"/>
      <c r="E27" s="849" t="s">
        <v>743</v>
      </c>
      <c r="F27" s="217"/>
      <c r="G27" s="217"/>
      <c r="H27" s="850" t="s">
        <v>744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742</v>
      </c>
      <c r="C28" s="849" t="s">
        <v>597</v>
      </c>
      <c r="D28" s="2"/>
      <c r="E28" s="849" t="s">
        <v>743</v>
      </c>
      <c r="F28" s="217"/>
      <c r="G28" s="217"/>
      <c r="H28" s="850" t="s">
        <v>741</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606</v>
      </c>
      <c r="M35" s="217"/>
      <c r="N35" s="217"/>
      <c r="O35" s="217"/>
      <c r="P35" s="217"/>
      <c r="Q35" s="217"/>
      <c r="R35" s="217"/>
      <c r="S35" s="2"/>
      <c r="T35" s="798" t="s">
        <v>588</v>
      </c>
      <c r="U35" s="799" t="s">
        <v>606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745</v>
      </c>
      <c r="M36" s="232"/>
      <c r="N36" s="232"/>
      <c r="O36" s="232"/>
      <c r="P36" s="232"/>
      <c r="Q36" s="232"/>
      <c r="R36" s="232"/>
      <c r="S36" s="235"/>
      <c r="U36" s="804" t="s">
        <v>746</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607</v>
      </c>
      <c r="C37" s="854"/>
      <c r="D37" s="855">
        <f>counta(C39:D48)</f>
        <v>7</v>
      </c>
      <c r="E37" s="856" t="s">
        <v>608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604</v>
      </c>
      <c r="F38" s="860"/>
      <c r="G38" s="859" t="s">
        <v>609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641</v>
      </c>
      <c r="D39" s="860"/>
      <c r="E39" s="864" t="s">
        <v>747</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662</v>
      </c>
      <c r="D40" s="860"/>
      <c r="E40" s="864" t="s">
        <v>747</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518</v>
      </c>
      <c r="D41" s="860"/>
      <c r="E41" s="864" t="s">
        <v>747</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747</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747</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638</v>
      </c>
      <c r="D44" s="860"/>
      <c r="E44" s="864" t="s">
        <v>747</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519</v>
      </c>
      <c r="D45" s="860"/>
      <c r="E45" s="864" t="s">
        <v>747</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610</v>
      </c>
      <c r="M49" s="217"/>
      <c r="N49" s="217"/>
      <c r="O49" s="217"/>
      <c r="P49" s="217"/>
      <c r="Q49" s="217"/>
      <c r="R49" s="217"/>
      <c r="S49" s="2"/>
      <c r="T49" s="798" t="s">
        <v>588</v>
      </c>
      <c r="U49" s="799" t="s">
        <v>611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612</v>
      </c>
      <c r="C50" s="873"/>
      <c r="D50" s="874">
        <f>COUNTA(C52:D62)</f>
        <v>7</v>
      </c>
      <c r="E50" s="837"/>
      <c r="F50" s="837"/>
      <c r="G50" s="837"/>
      <c r="H50" s="837"/>
      <c r="I50" s="776"/>
      <c r="J50" s="776"/>
      <c r="K50" s="775"/>
      <c r="L50" s="804" t="s">
        <v>748</v>
      </c>
      <c r="M50" s="232"/>
      <c r="N50" s="232"/>
      <c r="O50" s="232"/>
      <c r="P50" s="232"/>
      <c r="Q50" s="232"/>
      <c r="R50" s="232"/>
      <c r="S50" s="235"/>
      <c r="U50" s="804" t="s">
        <v>749</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613</v>
      </c>
      <c r="C51" s="859" t="s">
        <v>448</v>
      </c>
      <c r="D51" s="860"/>
      <c r="E51" s="858" t="s">
        <v>614</v>
      </c>
      <c r="F51" s="858" t="s">
        <v>615</v>
      </c>
      <c r="G51" s="858" t="s">
        <v>616</v>
      </c>
      <c r="H51" s="859" t="s">
        <v>617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641</v>
      </c>
      <c r="D52" s="860"/>
      <c r="E52" s="891">
        <v>46082.0</v>
      </c>
      <c r="F52" s="877" t="s">
        <v>750</v>
      </c>
      <c r="G52" s="877" t="s">
        <v>751</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662</v>
      </c>
      <c r="D53" s="860"/>
      <c r="E53" s="891">
        <v>46082.0</v>
      </c>
      <c r="F53" s="877" t="s">
        <v>752</v>
      </c>
      <c r="G53" s="877" t="s">
        <v>753</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518</v>
      </c>
      <c r="D54" s="860"/>
      <c r="E54" s="891">
        <v>46082.0</v>
      </c>
      <c r="F54" s="877" t="s">
        <v>750</v>
      </c>
      <c r="G54" s="877" t="s">
        <v>751</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750</v>
      </c>
      <c r="G55" s="877" t="s">
        <v>751</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750</v>
      </c>
      <c r="G56" s="877" t="s">
        <v>751</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638</v>
      </c>
      <c r="D57" s="860"/>
      <c r="E57" s="891">
        <v>46082.0</v>
      </c>
      <c r="F57" s="877" t="s">
        <v>750</v>
      </c>
      <c r="G57" s="877" t="s">
        <v>751</v>
      </c>
      <c r="H57" s="878" t="s">
        <v>597</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519</v>
      </c>
      <c r="D58" s="860"/>
      <c r="E58" s="891">
        <v>46101.0</v>
      </c>
      <c r="F58" s="877" t="s">
        <v>750</v>
      </c>
      <c r="G58" s="877" t="s">
        <v>751</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618</v>
      </c>
      <c r="M63" s="217"/>
      <c r="N63" s="217"/>
      <c r="O63" s="217"/>
      <c r="P63" s="217"/>
      <c r="Q63" s="217"/>
      <c r="R63" s="217"/>
      <c r="S63" s="2"/>
      <c r="T63" s="798" t="s">
        <v>588</v>
      </c>
      <c r="U63" s="799" t="s">
        <v>619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620</v>
      </c>
      <c r="C64" s="880"/>
      <c r="D64" s="874">
        <f>COUNTA(C66:D76)</f>
        <v>5</v>
      </c>
      <c r="E64" s="837"/>
      <c r="F64" s="837"/>
      <c r="G64" s="837"/>
      <c r="H64" s="837"/>
      <c r="I64" s="837"/>
      <c r="J64" s="776"/>
      <c r="K64" s="775"/>
      <c r="L64" s="804" t="s">
        <v>754</v>
      </c>
      <c r="M64" s="232"/>
      <c r="N64" s="232"/>
      <c r="O64" s="232"/>
      <c r="P64" s="232"/>
      <c r="Q64" s="232"/>
      <c r="R64" s="232"/>
      <c r="S64" s="235"/>
      <c r="U64" s="804" t="s">
        <v>755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613</v>
      </c>
      <c r="C65" s="859" t="s">
        <v>448</v>
      </c>
      <c r="D65" s="860"/>
      <c r="E65" s="858" t="s">
        <v>621</v>
      </c>
      <c r="F65" s="859" t="s">
        <v>622</v>
      </c>
      <c r="G65" s="860"/>
      <c r="H65" s="859" t="s">
        <v>617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640</v>
      </c>
      <c r="D66" s="860"/>
      <c r="E66" s="893">
        <v>46112.0</v>
      </c>
      <c r="F66" s="894" t="s">
        <v>756</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459</v>
      </c>
      <c r="D67" s="860"/>
      <c r="E67" s="893">
        <v>46101.0</v>
      </c>
      <c r="F67" s="894" t="s">
        <v>697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641</v>
      </c>
      <c r="D68" s="860"/>
      <c r="E68" s="893">
        <v>46112.0</v>
      </c>
      <c r="F68" s="894" t="s">
        <v>757</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662</v>
      </c>
      <c r="D69" s="860"/>
      <c r="E69" s="893">
        <v>46112.0</v>
      </c>
      <c r="F69" s="894" t="s">
        <v>697</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638</v>
      </c>
      <c r="D70" s="860"/>
      <c r="E70" s="893">
        <v>46112.0</v>
      </c>
      <c r="F70" s="894" t="s">
        <v>757</v>
      </c>
      <c r="G70" s="860"/>
      <c r="H70" s="882" t="s">
        <v>597</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623</v>
      </c>
      <c r="M77" s="217"/>
      <c r="N77" s="217"/>
      <c r="O77" s="217"/>
      <c r="P77" s="217"/>
      <c r="Q77" s="217"/>
      <c r="R77" s="217"/>
      <c r="S77" s="2"/>
      <c r="T77" s="791"/>
      <c r="U77" s="883" t="s">
        <v>624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758</v>
      </c>
      <c r="M78" s="232"/>
      <c r="N78" s="232"/>
      <c r="O78" s="232"/>
      <c r="P78" s="232"/>
      <c r="Q78" s="232"/>
      <c r="R78" s="232"/>
      <c r="S78" s="235"/>
      <c r="U78" s="804" t="s">
        <v>759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760</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1</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761</v>
      </c>
      <c r="BG7" s="323"/>
      <c r="BL7" s="310"/>
    </row>
    <row r="8" ht="15.75" customHeight="1" outlineLevel="1">
      <c r="B8" s="324" t="s">
        <v>304</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IFERROR(__xludf.DUMMYFUNCTION("IMPORTRANGE(""https://docs.google.com/spreadsheets/d/1QbHfX9wvC_RRupa4CCe_ZxA6O4e2Ap9vqX5hrZPeQRg/edit?gid=284905409#gid=284905409"",""date2_1!B11"")/G5*COUNTIFS($E$13:$E$43,""&gt;0"")+sum(AZ14:BA19)"),948920.0)</f>
        <v>948920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5" t="s">
        <v>376</v>
      </c>
      <c r="AZ30" s="414">
        <f>AS46</f>
        <v>12233360</v>
      </c>
      <c r="BA30" s="426" t="s">
        <v>111</v>
      </c>
      <c r="BB30" s="412">
        <f>SUM(AZ30:AZ36)</f>
        <v>13228360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30" t="s">
        <v>380</v>
      </c>
      <c r="AZ31" s="414">
        <f t="shared" ref="AZ31:AZ34" si="11">BA31/$G$5*COUNTIFS($E$13:$E$43,"&gt;0")</f>
        <v>93600</v>
      </c>
      <c r="BA31" s="431">
        <v>93600.0</v>
      </c>
      <c r="BB31" s="415"/>
      <c r="BC31" s="281"/>
      <c r="BD31" s="432" t="s">
        <v>381</v>
      </c>
      <c r="BE31" s="433">
        <v>2000.0</v>
      </c>
      <c r="BF31" s="434"/>
      <c r="BG31" s="414">
        <f t="shared" ref="BG31:BG35" si="12">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30" t="s">
        <v>382</v>
      </c>
      <c r="AZ32" s="414">
        <f t="shared" si="11"/>
        <v>72960</v>
      </c>
      <c r="BA32" s="431">
        <v>72960.0</v>
      </c>
      <c r="BB32" s="415"/>
      <c r="BC32" s="281"/>
      <c r="BD32" s="432" t="s">
        <v>383</v>
      </c>
      <c r="BE32" s="433">
        <v>2500.0</v>
      </c>
      <c r="BF32" s="434"/>
      <c r="BG32" s="414">
        <f t="shared" si="12"/>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30" t="s">
        <v>384</v>
      </c>
      <c r="AZ33" s="414">
        <f t="shared" si="11"/>
        <v>413440</v>
      </c>
      <c r="BA33" s="431">
        <v>413440.0</v>
      </c>
      <c r="BB33" s="415"/>
      <c r="BC33" s="281"/>
      <c r="BD33" s="435" t="s">
        <v>385</v>
      </c>
      <c r="BE33" s="434"/>
      <c r="BF33" s="434"/>
      <c r="BG33" s="414">
        <f t="shared" si="12"/>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30" t="s">
        <v>386</v>
      </c>
      <c r="AZ34" s="414">
        <f t="shared" si="11"/>
        <v>345000</v>
      </c>
      <c r="BA34" s="436">
        <v>345000.0</v>
      </c>
      <c r="BB34" s="415"/>
      <c r="BC34" s="281"/>
      <c r="BD34" s="432"/>
      <c r="BE34" s="434"/>
      <c r="BF34" s="434"/>
      <c r="BG34" s="414">
        <f t="shared" si="12"/>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397">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3"/>
      <c r="AZ35" s="393"/>
      <c r="BA35" s="393"/>
      <c r="BB35" s="415"/>
      <c r="BC35" s="281"/>
      <c r="BD35" s="437"/>
      <c r="BE35" s="398"/>
      <c r="BF35" s="398"/>
      <c r="BG35" s="438">
        <f t="shared" si="12"/>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898">
        <v>312.0</v>
      </c>
      <c r="F36" s="372">
        <f t="shared" si="4"/>
        <v>0.6506410256</v>
      </c>
      <c r="G36" s="397">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30" t="s">
        <v>387</v>
      </c>
      <c r="AZ36" s="393">
        <f>BB40-BG40</f>
        <v>70000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397">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f t="shared" si="13"/>
        <v>312</v>
      </c>
      <c r="F38" s="372">
        <f t="shared" si="4"/>
        <v>0.7596153846</v>
      </c>
      <c r="G38" s="397">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397">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f t="shared" si="13"/>
        <v>312</v>
      </c>
      <c r="F40" s="372">
        <f t="shared" si="4"/>
        <v>0.641025641</v>
      </c>
      <c r="G40" s="397">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762</v>
      </c>
      <c r="AZ40" s="431">
        <v>320000.0</v>
      </c>
      <c r="BA40" s="441" t="s">
        <v>52</v>
      </c>
      <c r="BB40" s="412">
        <f>SUM(AZ40:AZ45)</f>
        <v>320000</v>
      </c>
      <c r="BC40" s="281"/>
      <c r="BD40" s="440" t="s">
        <v>762</v>
      </c>
      <c r="BE40" s="431">
        <v>250000.0</v>
      </c>
      <c r="BF40" s="441" t="s">
        <v>52</v>
      </c>
      <c r="BG40" s="412">
        <f>SUM(BE40:BE45)</f>
        <v>250000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397"/>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397"/>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763</v>
      </c>
      <c r="O2" s="498"/>
      <c r="P2" s="499"/>
      <c r="Q2" s="500"/>
      <c r="R2" s="500"/>
      <c r="S2" s="501"/>
      <c r="T2" s="500"/>
      <c r="U2" s="500"/>
      <c r="V2" s="500"/>
      <c r="W2" s="500"/>
      <c r="X2" s="500"/>
      <c r="Y2" s="502"/>
      <c r="Z2" s="266"/>
      <c r="AA2" s="266"/>
      <c r="AB2" s="266"/>
      <c r="AC2" s="266"/>
      <c r="AD2" s="266"/>
      <c r="AE2" s="266"/>
      <c r="AF2" s="503"/>
      <c r="AG2" s="504"/>
      <c r="AH2" s="505"/>
      <c r="AI2" s="506" t="s">
        <v>764</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765</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631</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46124</v>
      </c>
      <c r="C7" s="576"/>
      <c r="D7" s="493"/>
      <c r="E7" s="577">
        <f>today()+1</f>
        <v>46125</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日</v>
      </c>
      <c r="D8" s="112"/>
      <c r="E8" s="591" t="s">
        <v>310</v>
      </c>
      <c r="F8" s="592" t="str">
        <f>TEXT(E7,"ddd")</f>
        <v>月</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766</v>
      </c>
      <c r="N11" s="607"/>
      <c r="O11" s="607" t="s">
        <v>410</v>
      </c>
      <c r="P11" s="607" t="s">
        <v>410</v>
      </c>
      <c r="Q11" s="607" t="s">
        <v>410</v>
      </c>
      <c r="R11" s="607" t="s">
        <v>410</v>
      </c>
      <c r="S11" s="607" t="s">
        <v>410</v>
      </c>
      <c r="T11" s="607" t="s">
        <v>410</v>
      </c>
      <c r="U11" s="607"/>
      <c r="V11" s="607" t="s">
        <v>410</v>
      </c>
      <c r="W11" s="607" t="s">
        <v>410</v>
      </c>
      <c r="X11" s="607"/>
      <c r="Y11" s="607" t="s">
        <v>410</v>
      </c>
      <c r="Z11" s="607" t="s">
        <v>410</v>
      </c>
      <c r="AA11" s="607"/>
      <c r="AB11" s="607" t="s">
        <v>410</v>
      </c>
      <c r="AC11" s="607" t="s">
        <v>410</v>
      </c>
      <c r="AD11" s="607" t="s">
        <v>410</v>
      </c>
      <c r="AE11" s="607" t="s">
        <v>410</v>
      </c>
      <c r="AF11" s="607" t="s">
        <v>410</v>
      </c>
      <c r="AG11" s="607" t="s">
        <v>225</v>
      </c>
      <c r="AH11" s="607" t="s">
        <v>410</v>
      </c>
      <c r="AI11" s="607" t="s">
        <v>410</v>
      </c>
      <c r="AJ11" s="607" t="s">
        <v>410</v>
      </c>
      <c r="AK11" s="607" t="s">
        <v>410</v>
      </c>
      <c r="AL11" s="607"/>
      <c r="AM11" s="607"/>
      <c r="AN11" s="607"/>
      <c r="AO11" s="607" t="s">
        <v>410</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8.0</v>
      </c>
      <c r="N12" s="607" t="s">
        <v>410</v>
      </c>
      <c r="O12" s="607" t="s">
        <v>410</v>
      </c>
      <c r="P12" s="607" t="s">
        <v>410</v>
      </c>
      <c r="Q12" s="607"/>
      <c r="R12" s="607" t="s">
        <v>410</v>
      </c>
      <c r="S12" s="607" t="s">
        <v>410</v>
      </c>
      <c r="T12" s="607"/>
      <c r="U12" s="607" t="s">
        <v>410</v>
      </c>
      <c r="V12" s="607" t="s">
        <v>459</v>
      </c>
      <c r="W12" s="607" t="s">
        <v>459</v>
      </c>
      <c r="X12" s="607"/>
      <c r="Y12" s="607" t="s">
        <v>459</v>
      </c>
      <c r="Z12" s="607" t="s">
        <v>459</v>
      </c>
      <c r="AA12" s="607"/>
      <c r="AB12" s="607" t="s">
        <v>459</v>
      </c>
      <c r="AC12" s="607" t="s">
        <v>459</v>
      </c>
      <c r="AD12" s="607" t="s">
        <v>410</v>
      </c>
      <c r="AE12" s="607"/>
      <c r="AF12" s="607" t="s">
        <v>459</v>
      </c>
      <c r="AG12" s="607"/>
      <c r="AH12" s="607" t="s">
        <v>459</v>
      </c>
      <c r="AI12" s="607" t="s">
        <v>459</v>
      </c>
      <c r="AJ12" s="607" t="s">
        <v>459</v>
      </c>
      <c r="AK12" s="607" t="s">
        <v>459</v>
      </c>
      <c r="AL12" s="607"/>
      <c r="AM12" s="607" t="s">
        <v>410</v>
      </c>
      <c r="AN12" s="607" t="s">
        <v>459</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8.0</v>
      </c>
      <c r="N13" s="607"/>
      <c r="O13" s="607" t="s">
        <v>410</v>
      </c>
      <c r="P13" s="607"/>
      <c r="Q13" s="607" t="s">
        <v>410</v>
      </c>
      <c r="R13" s="607" t="s">
        <v>410</v>
      </c>
      <c r="S13" s="607" t="s">
        <v>410</v>
      </c>
      <c r="T13" s="607" t="s">
        <v>410</v>
      </c>
      <c r="U13" s="607"/>
      <c r="V13" s="607" t="s">
        <v>410</v>
      </c>
      <c r="W13" s="607" t="s">
        <v>410</v>
      </c>
      <c r="X13" s="607" t="s">
        <v>410</v>
      </c>
      <c r="Y13" s="607" t="s">
        <v>410</v>
      </c>
      <c r="Z13" s="607" t="s">
        <v>410</v>
      </c>
      <c r="AA13" s="607" t="s">
        <v>410</v>
      </c>
      <c r="AB13" s="607"/>
      <c r="AC13" s="607" t="s">
        <v>410</v>
      </c>
      <c r="AD13" s="607"/>
      <c r="AE13" s="607" t="s">
        <v>410</v>
      </c>
      <c r="AF13" s="607" t="s">
        <v>410</v>
      </c>
      <c r="AG13" s="607" t="s">
        <v>410</v>
      </c>
      <c r="AH13" s="607" t="s">
        <v>432</v>
      </c>
      <c r="AI13" s="607"/>
      <c r="AJ13" s="607" t="s">
        <v>410</v>
      </c>
      <c r="AK13" s="607"/>
      <c r="AL13" s="607" t="s">
        <v>410</v>
      </c>
      <c r="AM13" s="607" t="s">
        <v>410</v>
      </c>
      <c r="AN13" s="607" t="s">
        <v>410</v>
      </c>
      <c r="AO13" s="607" t="s">
        <v>410</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767</v>
      </c>
      <c r="N14" s="607" t="s">
        <v>410</v>
      </c>
      <c r="O14" s="607"/>
      <c r="P14" s="607" t="s">
        <v>410</v>
      </c>
      <c r="Q14" s="607" t="s">
        <v>410</v>
      </c>
      <c r="R14" s="607" t="s">
        <v>410</v>
      </c>
      <c r="S14" s="607" t="s">
        <v>410</v>
      </c>
      <c r="T14" s="607" t="s">
        <v>410</v>
      </c>
      <c r="U14" s="607" t="s">
        <v>410</v>
      </c>
      <c r="V14" s="607"/>
      <c r="W14" s="607" t="s">
        <v>410</v>
      </c>
      <c r="X14" s="607" t="s">
        <v>410</v>
      </c>
      <c r="Y14" s="607"/>
      <c r="Z14" s="607"/>
      <c r="AA14" s="607" t="s">
        <v>410</v>
      </c>
      <c r="AB14" s="607" t="s">
        <v>410</v>
      </c>
      <c r="AC14" s="607" t="s">
        <v>410</v>
      </c>
      <c r="AD14" s="607" t="s">
        <v>410</v>
      </c>
      <c r="AE14" s="607" t="s">
        <v>410</v>
      </c>
      <c r="AF14" s="607"/>
      <c r="AG14" s="607"/>
      <c r="AH14" s="607" t="s">
        <v>410</v>
      </c>
      <c r="AI14" s="607" t="s">
        <v>410</v>
      </c>
      <c r="AJ14" s="607" t="s">
        <v>410</v>
      </c>
      <c r="AK14" s="607" t="s">
        <v>410</v>
      </c>
      <c r="AL14" s="607" t="s">
        <v>410</v>
      </c>
      <c r="AM14" s="607" t="s">
        <v>426</v>
      </c>
      <c r="AN14" s="607" t="s">
        <v>432</v>
      </c>
      <c r="AO14" s="607" t="s">
        <v>432</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t="s">
        <v>410</v>
      </c>
      <c r="P15" s="607"/>
      <c r="Q15" s="607" t="s">
        <v>410</v>
      </c>
      <c r="R15" s="607"/>
      <c r="S15" s="607" t="s">
        <v>410</v>
      </c>
      <c r="T15" s="607"/>
      <c r="U15" s="607"/>
      <c r="V15" s="607" t="s">
        <v>428</v>
      </c>
      <c r="W15" s="607"/>
      <c r="X15" s="607" t="s">
        <v>428</v>
      </c>
      <c r="Y15" s="607"/>
      <c r="Z15" s="607" t="s">
        <v>428</v>
      </c>
      <c r="AA15" s="607"/>
      <c r="AB15" s="607"/>
      <c r="AC15" s="607" t="s">
        <v>428</v>
      </c>
      <c r="AD15" s="607"/>
      <c r="AE15" s="607" t="s">
        <v>410</v>
      </c>
      <c r="AF15" s="607"/>
      <c r="AG15" s="607"/>
      <c r="AH15" s="607"/>
      <c r="AI15" s="607"/>
      <c r="AJ15" s="607" t="s">
        <v>410</v>
      </c>
      <c r="AK15" s="607"/>
      <c r="AL15" s="607" t="s">
        <v>410</v>
      </c>
      <c r="AM15" s="607"/>
      <c r="AN15" s="607" t="s">
        <v>410</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c r="P16" s="607"/>
      <c r="Q16" s="607"/>
      <c r="R16" s="607"/>
      <c r="S16" s="607"/>
      <c r="T16" s="607"/>
      <c r="U16" s="607"/>
      <c r="V16" s="607"/>
      <c r="W16" s="607"/>
      <c r="X16" s="607"/>
      <c r="Y16" s="607"/>
      <c r="Z16" s="607"/>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t="s">
        <v>410</v>
      </c>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t="s">
        <v>426</v>
      </c>
      <c r="AD19" s="607" t="s">
        <v>410</v>
      </c>
      <c r="AE19" s="607" t="s">
        <v>410</v>
      </c>
      <c r="AF19" s="607" t="s">
        <v>410</v>
      </c>
      <c r="AG19" s="607" t="s">
        <v>410</v>
      </c>
      <c r="AH19" s="607" t="s">
        <v>426</v>
      </c>
      <c r="AI19" s="607" t="s">
        <v>426</v>
      </c>
      <c r="AJ19" s="607" t="s">
        <v>410</v>
      </c>
      <c r="AK19" s="607" t="s">
        <v>410</v>
      </c>
      <c r="AL19" s="607" t="s">
        <v>410</v>
      </c>
      <c r="AM19" s="607"/>
      <c r="AN19" s="607" t="s">
        <v>410</v>
      </c>
      <c r="AO19" s="607" t="s">
        <v>410</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666</v>
      </c>
      <c r="L20" s="601" t="s">
        <v>464</v>
      </c>
      <c r="M20" s="613"/>
      <c r="N20" s="607" t="s">
        <v>410</v>
      </c>
      <c r="O20" s="603"/>
      <c r="P20" s="607" t="s">
        <v>410</v>
      </c>
      <c r="Q20" s="607"/>
      <c r="R20" s="603"/>
      <c r="S20" s="603"/>
      <c r="T20" s="607"/>
      <c r="U20" s="607" t="s">
        <v>410</v>
      </c>
      <c r="V20" s="603"/>
      <c r="W20" s="607" t="s">
        <v>410</v>
      </c>
      <c r="X20" s="607" t="s">
        <v>487</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465</v>
      </c>
      <c r="L21" s="601" t="s">
        <v>464</v>
      </c>
      <c r="M21" s="613"/>
      <c r="N21" s="607" t="s">
        <v>410</v>
      </c>
      <c r="O21" s="607"/>
      <c r="P21" s="607" t="s">
        <v>410</v>
      </c>
      <c r="Q21" s="603"/>
      <c r="R21" s="607"/>
      <c r="S21" s="607"/>
      <c r="T21" s="607" t="s">
        <v>410</v>
      </c>
      <c r="U21" s="607"/>
      <c r="V21" s="607"/>
      <c r="W21" s="607"/>
      <c r="X21" s="603"/>
      <c r="Y21" s="607"/>
      <c r="Z21" s="607"/>
      <c r="AA21" s="607" t="s">
        <v>430</v>
      </c>
      <c r="AB21" s="607" t="s">
        <v>430</v>
      </c>
      <c r="AC21" s="607"/>
      <c r="AD21" s="607" t="s">
        <v>410</v>
      </c>
      <c r="AE21" s="607"/>
      <c r="AF21" s="607"/>
      <c r="AG21" s="607"/>
      <c r="AH21" s="607" t="s">
        <v>410</v>
      </c>
      <c r="AI21" s="607" t="s">
        <v>410</v>
      </c>
      <c r="AJ21" s="607"/>
      <c r="AK21" s="607" t="s">
        <v>410</v>
      </c>
      <c r="AL21" s="607"/>
      <c r="AM21" s="607"/>
      <c r="AN21" s="607"/>
      <c r="AO21" s="607" t="s">
        <v>410</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464</v>
      </c>
      <c r="M22" s="613"/>
      <c r="N22" s="607"/>
      <c r="O22" s="607" t="s">
        <v>410</v>
      </c>
      <c r="P22" s="607" t="s">
        <v>410</v>
      </c>
      <c r="Q22" s="607" t="s">
        <v>410</v>
      </c>
      <c r="R22" s="607" t="s">
        <v>410</v>
      </c>
      <c r="S22" s="607"/>
      <c r="T22" s="607" t="s">
        <v>410</v>
      </c>
      <c r="U22" s="607" t="s">
        <v>410</v>
      </c>
      <c r="V22" s="607" t="s">
        <v>410</v>
      </c>
      <c r="W22" s="607" t="s">
        <v>410</v>
      </c>
      <c r="X22" s="607" t="s">
        <v>410</v>
      </c>
      <c r="Y22" s="607"/>
      <c r="Z22" s="607" t="s">
        <v>410</v>
      </c>
      <c r="AA22" s="607" t="s">
        <v>410</v>
      </c>
      <c r="AB22" s="607" t="s">
        <v>410</v>
      </c>
      <c r="AC22" s="607" t="s">
        <v>410</v>
      </c>
      <c r="AD22" s="607" t="s">
        <v>410</v>
      </c>
      <c r="AE22" s="607" t="s">
        <v>410</v>
      </c>
      <c r="AF22" s="607"/>
      <c r="AG22" s="607" t="s">
        <v>410</v>
      </c>
      <c r="AH22" s="607" t="s">
        <v>410</v>
      </c>
      <c r="AI22" s="607" t="s">
        <v>410</v>
      </c>
      <c r="AJ22" s="607" t="s">
        <v>410</v>
      </c>
      <c r="AK22" s="607" t="s">
        <v>410</v>
      </c>
      <c r="AL22" s="607" t="s">
        <v>410</v>
      </c>
      <c r="AM22" s="607"/>
      <c r="AN22" s="607" t="s">
        <v>410</v>
      </c>
      <c r="AO22" s="607" t="s">
        <v>410</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466</v>
      </c>
      <c r="L23" s="601" t="s">
        <v>464</v>
      </c>
      <c r="M23" s="613"/>
      <c r="N23" s="607" t="s">
        <v>410</v>
      </c>
      <c r="O23" s="607" t="s">
        <v>410</v>
      </c>
      <c r="P23" s="607"/>
      <c r="Q23" s="607"/>
      <c r="R23" s="607"/>
      <c r="S23" s="607"/>
      <c r="T23" s="607"/>
      <c r="U23" s="607" t="s">
        <v>410</v>
      </c>
      <c r="V23" s="607" t="s">
        <v>410</v>
      </c>
      <c r="W23" s="607" t="s">
        <v>410</v>
      </c>
      <c r="X23" s="607"/>
      <c r="Y23" s="607" t="s">
        <v>410</v>
      </c>
      <c r="Z23" s="607"/>
      <c r="AA23" s="607"/>
      <c r="AB23" s="607"/>
      <c r="AC23" s="607" t="s">
        <v>410</v>
      </c>
      <c r="AD23" s="607"/>
      <c r="AE23" s="607"/>
      <c r="AF23" s="607" t="s">
        <v>410</v>
      </c>
      <c r="AG23" s="607" t="s">
        <v>410</v>
      </c>
      <c r="AH23" s="607"/>
      <c r="AI23" s="607"/>
      <c r="AJ23" s="607" t="s">
        <v>410</v>
      </c>
      <c r="AK23" s="607"/>
      <c r="AL23" s="607"/>
      <c r="AM23" s="607" t="s">
        <v>410</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464</v>
      </c>
      <c r="M24" s="613"/>
      <c r="N24" s="607"/>
      <c r="O24" s="607"/>
      <c r="P24" s="607" t="s">
        <v>410</v>
      </c>
      <c r="Q24" s="607" t="s">
        <v>410</v>
      </c>
      <c r="R24" s="607" t="s">
        <v>410</v>
      </c>
      <c r="S24" s="607"/>
      <c r="T24" s="607"/>
      <c r="U24" s="607"/>
      <c r="V24" s="607"/>
      <c r="W24" s="607" t="s">
        <v>410</v>
      </c>
      <c r="X24" s="607" t="s">
        <v>410</v>
      </c>
      <c r="Y24" s="607" t="s">
        <v>410</v>
      </c>
      <c r="Z24" s="607"/>
      <c r="AA24" s="607"/>
      <c r="AB24" s="607"/>
      <c r="AC24" s="607"/>
      <c r="AD24" s="607" t="s">
        <v>410</v>
      </c>
      <c r="AE24" s="607" t="s">
        <v>410</v>
      </c>
      <c r="AF24" s="607" t="s">
        <v>410</v>
      </c>
      <c r="AG24" s="607"/>
      <c r="AH24" s="607"/>
      <c r="AI24" s="607"/>
      <c r="AJ24" s="607"/>
      <c r="AK24" s="607" t="s">
        <v>410</v>
      </c>
      <c r="AL24" s="607" t="s">
        <v>768</v>
      </c>
      <c r="AM24" s="607" t="s">
        <v>768</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467</v>
      </c>
      <c r="L25" s="601" t="s">
        <v>464</v>
      </c>
      <c r="M25" s="613"/>
      <c r="N25" s="607"/>
      <c r="O25" s="607" t="s">
        <v>410</v>
      </c>
      <c r="P25" s="607" t="s">
        <v>410</v>
      </c>
      <c r="Q25" s="607" t="s">
        <v>410</v>
      </c>
      <c r="R25" s="607" t="s">
        <v>410</v>
      </c>
      <c r="S25" s="607"/>
      <c r="T25" s="607"/>
      <c r="U25" s="607"/>
      <c r="V25" s="607" t="s">
        <v>410</v>
      </c>
      <c r="W25" s="607" t="s">
        <v>410</v>
      </c>
      <c r="X25" s="607" t="s">
        <v>430</v>
      </c>
      <c r="Y25" s="607" t="s">
        <v>410</v>
      </c>
      <c r="Z25" s="607" t="s">
        <v>410</v>
      </c>
      <c r="AA25" s="607"/>
      <c r="AB25" s="607"/>
      <c r="AC25" s="607" t="s">
        <v>410</v>
      </c>
      <c r="AD25" s="607" t="s">
        <v>410</v>
      </c>
      <c r="AE25" s="607"/>
      <c r="AF25" s="607" t="s">
        <v>410</v>
      </c>
      <c r="AG25" s="607" t="s">
        <v>410</v>
      </c>
      <c r="AH25" s="607"/>
      <c r="AI25" s="607"/>
      <c r="AJ25" s="607" t="s">
        <v>430</v>
      </c>
      <c r="AK25" s="607" t="s">
        <v>410</v>
      </c>
      <c r="AL25" s="607" t="s">
        <v>410</v>
      </c>
      <c r="AM25" s="607" t="s">
        <v>410</v>
      </c>
      <c r="AN25" s="607" t="s">
        <v>410</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674</v>
      </c>
      <c r="L26" s="601" t="s">
        <v>464</v>
      </c>
      <c r="M26" s="613"/>
      <c r="N26" s="607" t="s">
        <v>410</v>
      </c>
      <c r="O26" s="607"/>
      <c r="P26" s="607"/>
      <c r="Q26" s="607"/>
      <c r="R26" s="607"/>
      <c r="S26" s="607"/>
      <c r="T26" s="607" t="s">
        <v>410</v>
      </c>
      <c r="U26" s="607"/>
      <c r="V26" s="607"/>
      <c r="W26" s="607" t="s">
        <v>410</v>
      </c>
      <c r="X26" s="607" t="s">
        <v>428</v>
      </c>
      <c r="Y26" s="607"/>
      <c r="Z26" s="607"/>
      <c r="AA26" s="607"/>
      <c r="AB26" s="607" t="s">
        <v>410</v>
      </c>
      <c r="AC26" s="607"/>
      <c r="AD26" s="607" t="s">
        <v>410</v>
      </c>
      <c r="AE26" s="607"/>
      <c r="AF26" s="607"/>
      <c r="AG26" s="607"/>
      <c r="AH26" s="607"/>
      <c r="AI26" s="607" t="s">
        <v>410</v>
      </c>
      <c r="AJ26" s="607"/>
      <c r="AK26" s="607"/>
      <c r="AL26" s="607"/>
      <c r="AM26" s="607"/>
      <c r="AN26" s="607"/>
      <c r="AO26" s="607" t="s">
        <v>410</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468</v>
      </c>
      <c r="L27" s="601" t="s">
        <v>464</v>
      </c>
      <c r="M27" s="613"/>
      <c r="N27" s="607" t="s">
        <v>410</v>
      </c>
      <c r="O27" s="607"/>
      <c r="P27" s="607"/>
      <c r="Q27" s="607"/>
      <c r="R27" s="607"/>
      <c r="S27" s="607"/>
      <c r="T27" s="607" t="s">
        <v>410</v>
      </c>
      <c r="U27" s="607" t="s">
        <v>410</v>
      </c>
      <c r="V27" s="607"/>
      <c r="W27" s="607"/>
      <c r="X27" s="607"/>
      <c r="Y27" s="607"/>
      <c r="Z27" s="607"/>
      <c r="AA27" s="607" t="s">
        <v>410</v>
      </c>
      <c r="AB27" s="607" t="s">
        <v>410</v>
      </c>
      <c r="AC27" s="607"/>
      <c r="AD27" s="607"/>
      <c r="AE27" s="607"/>
      <c r="AF27" s="607"/>
      <c r="AG27" s="607"/>
      <c r="AH27" s="607" t="s">
        <v>410</v>
      </c>
      <c r="AI27" s="607" t="s">
        <v>410</v>
      </c>
      <c r="AJ27" s="607" t="s">
        <v>512</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464</v>
      </c>
      <c r="M28" s="602" t="s">
        <v>769</v>
      </c>
      <c r="N28" s="607" t="s">
        <v>410</v>
      </c>
      <c r="O28" s="607" t="s">
        <v>430</v>
      </c>
      <c r="P28" s="607"/>
      <c r="Q28" s="607"/>
      <c r="R28" s="607" t="s">
        <v>410</v>
      </c>
      <c r="S28" s="607" t="s">
        <v>410</v>
      </c>
      <c r="T28" s="607" t="s">
        <v>410</v>
      </c>
      <c r="U28" s="607" t="s">
        <v>410</v>
      </c>
      <c r="V28" s="607" t="s">
        <v>410</v>
      </c>
      <c r="W28" s="607"/>
      <c r="X28" s="607" t="s">
        <v>410</v>
      </c>
      <c r="Y28" s="607" t="s">
        <v>410</v>
      </c>
      <c r="Z28" s="607"/>
      <c r="AA28" s="607" t="s">
        <v>410</v>
      </c>
      <c r="AB28" s="607" t="s">
        <v>410</v>
      </c>
      <c r="AC28" s="607" t="s">
        <v>410</v>
      </c>
      <c r="AD28" s="607"/>
      <c r="AE28" s="607" t="s">
        <v>410</v>
      </c>
      <c r="AF28" s="607" t="s">
        <v>410</v>
      </c>
      <c r="AG28" s="607"/>
      <c r="AH28" s="607" t="s">
        <v>410</v>
      </c>
      <c r="AI28" s="607" t="s">
        <v>410</v>
      </c>
      <c r="AJ28" s="607" t="s">
        <v>410</v>
      </c>
      <c r="AK28" s="607"/>
      <c r="AL28" s="607"/>
      <c r="AM28" s="607" t="s">
        <v>410</v>
      </c>
      <c r="AN28" s="607"/>
      <c r="AO28" s="607" t="s">
        <v>410</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654</v>
      </c>
      <c r="L29" s="601" t="s">
        <v>464</v>
      </c>
      <c r="M29" s="613"/>
      <c r="N29" s="607"/>
      <c r="O29" s="607"/>
      <c r="P29" s="607"/>
      <c r="Q29" s="607" t="s">
        <v>410</v>
      </c>
      <c r="R29" s="607" t="s">
        <v>410</v>
      </c>
      <c r="S29" s="607" t="s">
        <v>410</v>
      </c>
      <c r="T29" s="607" t="s">
        <v>410</v>
      </c>
      <c r="U29" s="607"/>
      <c r="V29" s="607"/>
      <c r="W29" s="607"/>
      <c r="X29" s="607" t="s">
        <v>410</v>
      </c>
      <c r="Y29" s="607" t="s">
        <v>410</v>
      </c>
      <c r="Z29" s="607" t="s">
        <v>410</v>
      </c>
      <c r="AA29" s="607" t="s">
        <v>410</v>
      </c>
      <c r="AB29" s="607"/>
      <c r="AC29" s="607"/>
      <c r="AD29" s="607"/>
      <c r="AE29" s="607" t="s">
        <v>410</v>
      </c>
      <c r="AF29" s="607" t="s">
        <v>410</v>
      </c>
      <c r="AG29" s="607" t="s">
        <v>410</v>
      </c>
      <c r="AH29" s="607" t="s">
        <v>410</v>
      </c>
      <c r="AI29" s="607"/>
      <c r="AJ29" s="607"/>
      <c r="AK29" s="607"/>
      <c r="AL29" s="607" t="s">
        <v>410</v>
      </c>
      <c r="AM29" s="607" t="s">
        <v>410</v>
      </c>
      <c r="AN29" s="607" t="s">
        <v>410</v>
      </c>
      <c r="AO29" s="607" t="s">
        <v>487</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770</v>
      </c>
      <c r="L30" s="601" t="s">
        <v>464</v>
      </c>
      <c r="M30" s="613"/>
      <c r="N30" s="607" t="s">
        <v>225</v>
      </c>
      <c r="O30" s="607"/>
      <c r="P30" s="607"/>
      <c r="Q30" s="607"/>
      <c r="R30" s="607" t="s">
        <v>225</v>
      </c>
      <c r="S30" s="607" t="s">
        <v>410</v>
      </c>
      <c r="T30" s="607" t="s">
        <v>410</v>
      </c>
      <c r="U30" s="607" t="s">
        <v>410</v>
      </c>
      <c r="V30" s="607"/>
      <c r="W30" s="607"/>
      <c r="X30" s="607"/>
      <c r="Y30" s="607" t="s">
        <v>410</v>
      </c>
      <c r="Z30" s="607" t="s">
        <v>410</v>
      </c>
      <c r="AA30" s="607" t="s">
        <v>410</v>
      </c>
      <c r="AB30" s="607" t="s">
        <v>410</v>
      </c>
      <c r="AC30" s="607"/>
      <c r="AD30" s="607"/>
      <c r="AE30" s="607"/>
      <c r="AF30" s="607"/>
      <c r="AG30" s="607" t="s">
        <v>410</v>
      </c>
      <c r="AH30" s="607" t="s">
        <v>410</v>
      </c>
      <c r="AI30" s="607" t="s">
        <v>410</v>
      </c>
      <c r="AJ30" s="607"/>
      <c r="AK30" s="607"/>
      <c r="AL30" s="607"/>
      <c r="AM30" s="607" t="s">
        <v>410</v>
      </c>
      <c r="AN30" s="607" t="s">
        <v>410</v>
      </c>
      <c r="AO30" s="607" t="s">
        <v>410</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771</v>
      </c>
      <c r="L31" s="601" t="s">
        <v>464</v>
      </c>
      <c r="M31" s="613"/>
      <c r="N31" s="607" t="s">
        <v>225</v>
      </c>
      <c r="O31" s="607"/>
      <c r="P31" s="607"/>
      <c r="Q31" s="607" t="s">
        <v>225</v>
      </c>
      <c r="R31" s="607" t="s">
        <v>225</v>
      </c>
      <c r="S31" s="607" t="s">
        <v>225</v>
      </c>
      <c r="T31" s="607"/>
      <c r="U31" s="607" t="s">
        <v>410</v>
      </c>
      <c r="V31" s="607"/>
      <c r="W31" s="607"/>
      <c r="X31" s="607" t="s">
        <v>410</v>
      </c>
      <c r="Y31" s="607" t="s">
        <v>410</v>
      </c>
      <c r="Z31" s="607" t="s">
        <v>410</v>
      </c>
      <c r="AA31" s="607"/>
      <c r="AB31" s="607" t="s">
        <v>410</v>
      </c>
      <c r="AC31" s="607"/>
      <c r="AD31" s="607"/>
      <c r="AE31" s="607" t="s">
        <v>410</v>
      </c>
      <c r="AF31" s="607" t="s">
        <v>410</v>
      </c>
      <c r="AG31" s="607" t="s">
        <v>410</v>
      </c>
      <c r="AH31" s="607"/>
      <c r="AI31" s="607" t="s">
        <v>410</v>
      </c>
      <c r="AJ31" s="607"/>
      <c r="AK31" s="607"/>
      <c r="AL31" s="607" t="s">
        <v>410</v>
      </c>
      <c r="AM31" s="607" t="s">
        <v>410</v>
      </c>
      <c r="AN31" s="607" t="s">
        <v>410</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772</v>
      </c>
      <c r="L32" s="601" t="s">
        <v>464</v>
      </c>
      <c r="M32" s="613"/>
      <c r="N32" s="607"/>
      <c r="O32" s="607" t="s">
        <v>225</v>
      </c>
      <c r="P32" s="607"/>
      <c r="Q32" s="607" t="s">
        <v>225</v>
      </c>
      <c r="R32" s="607" t="s">
        <v>225</v>
      </c>
      <c r="S32" s="607"/>
      <c r="T32" s="607"/>
      <c r="U32" s="607"/>
      <c r="V32" s="607"/>
      <c r="W32" s="607"/>
      <c r="X32" s="607" t="s">
        <v>428</v>
      </c>
      <c r="Y32" s="607" t="s">
        <v>225</v>
      </c>
      <c r="Z32" s="607"/>
      <c r="AA32" s="607" t="s">
        <v>225</v>
      </c>
      <c r="AB32" s="607"/>
      <c r="AC32" s="607" t="s">
        <v>225</v>
      </c>
      <c r="AD32" s="607"/>
      <c r="AE32" s="607" t="s">
        <v>410</v>
      </c>
      <c r="AF32" s="607"/>
      <c r="AG32" s="607" t="s">
        <v>410</v>
      </c>
      <c r="AH32" s="607"/>
      <c r="AI32" s="607"/>
      <c r="AJ32" s="607"/>
      <c r="AK32" s="607" t="s">
        <v>410</v>
      </c>
      <c r="AL32" s="607"/>
      <c r="AM32" s="607"/>
      <c r="AN32" s="607" t="s">
        <v>410</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773</v>
      </c>
      <c r="L33" s="601" t="s">
        <v>464</v>
      </c>
      <c r="M33" s="613"/>
      <c r="N33" s="607"/>
      <c r="O33" s="607"/>
      <c r="P33" s="607" t="s">
        <v>225</v>
      </c>
      <c r="Q33" s="607" t="s">
        <v>225</v>
      </c>
      <c r="R33" s="607" t="s">
        <v>430</v>
      </c>
      <c r="S33" s="607" t="s">
        <v>225</v>
      </c>
      <c r="T33" s="607" t="s">
        <v>225</v>
      </c>
      <c r="U33" s="607"/>
      <c r="V33" s="607" t="s">
        <v>428</v>
      </c>
      <c r="W33" s="607" t="s">
        <v>428</v>
      </c>
      <c r="X33" s="607" t="s">
        <v>430</v>
      </c>
      <c r="Y33" s="607" t="s">
        <v>428</v>
      </c>
      <c r="Z33" s="607" t="s">
        <v>428</v>
      </c>
      <c r="AA33" s="607" t="s">
        <v>428</v>
      </c>
      <c r="AB33" s="607"/>
      <c r="AC33" s="607" t="s">
        <v>428</v>
      </c>
      <c r="AD33" s="607" t="s">
        <v>428</v>
      </c>
      <c r="AE33" s="607" t="s">
        <v>428</v>
      </c>
      <c r="AF33" s="607"/>
      <c r="AG33" s="607" t="s">
        <v>634</v>
      </c>
      <c r="AH33" s="607" t="s">
        <v>634</v>
      </c>
      <c r="AI33" s="607"/>
      <c r="AJ33" s="607" t="s">
        <v>634</v>
      </c>
      <c r="AK33" s="607" t="s">
        <v>634</v>
      </c>
      <c r="AL33" s="607" t="s">
        <v>634</v>
      </c>
      <c r="AM33" s="607" t="s">
        <v>634</v>
      </c>
      <c r="AN33" s="607"/>
      <c r="AO33" s="607" t="s">
        <v>634</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472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479</v>
      </c>
      <c r="L45" s="601" t="s">
        <v>480</v>
      </c>
      <c r="M45" s="613"/>
      <c r="N45" s="607"/>
      <c r="O45" s="607" t="s">
        <v>481</v>
      </c>
      <c r="P45" s="607" t="s">
        <v>481</v>
      </c>
      <c r="Q45" s="607" t="s">
        <v>481</v>
      </c>
      <c r="R45" s="607" t="s">
        <v>481</v>
      </c>
      <c r="S45" s="607" t="s">
        <v>481</v>
      </c>
      <c r="T45" s="607"/>
      <c r="U45" s="607"/>
      <c r="V45" s="607" t="s">
        <v>481</v>
      </c>
      <c r="W45" s="607" t="s">
        <v>481</v>
      </c>
      <c r="X45" s="607" t="s">
        <v>481</v>
      </c>
      <c r="Y45" s="607" t="s">
        <v>481</v>
      </c>
      <c r="Z45" s="607" t="s">
        <v>481</v>
      </c>
      <c r="AA45" s="607"/>
      <c r="AB45" s="607"/>
      <c r="AC45" s="607" t="s">
        <v>481</v>
      </c>
      <c r="AD45" s="607" t="s">
        <v>481</v>
      </c>
      <c r="AE45" s="607" t="s">
        <v>481</v>
      </c>
      <c r="AF45" s="607" t="s">
        <v>481</v>
      </c>
      <c r="AG45" s="607" t="s">
        <v>481</v>
      </c>
      <c r="AH45" s="607"/>
      <c r="AI45" s="607"/>
      <c r="AJ45" s="607" t="s">
        <v>481</v>
      </c>
      <c r="AK45" s="607" t="s">
        <v>481</v>
      </c>
      <c r="AL45" s="607" t="s">
        <v>481</v>
      </c>
      <c r="AM45" s="607" t="s">
        <v>481</v>
      </c>
      <c r="AN45" s="607" t="s">
        <v>481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482</v>
      </c>
      <c r="L46" s="601" t="s">
        <v>483</v>
      </c>
      <c r="M46" s="602" t="s">
        <v>774</v>
      </c>
      <c r="N46" s="607" t="s">
        <v>413</v>
      </c>
      <c r="O46" s="607"/>
      <c r="P46" s="607" t="s">
        <v>413</v>
      </c>
      <c r="Q46" s="607" t="s">
        <v>413</v>
      </c>
      <c r="R46" s="607" t="s">
        <v>413</v>
      </c>
      <c r="S46" s="607" t="s">
        <v>413</v>
      </c>
      <c r="T46" s="607" t="s">
        <v>413</v>
      </c>
      <c r="U46" s="607" t="s">
        <v>413</v>
      </c>
      <c r="V46" s="607"/>
      <c r="W46" s="607" t="s">
        <v>413</v>
      </c>
      <c r="X46" s="607" t="s">
        <v>413</v>
      </c>
      <c r="Y46" s="607" t="s">
        <v>413</v>
      </c>
      <c r="Z46" s="607" t="s">
        <v>413</v>
      </c>
      <c r="AA46" s="607" t="s">
        <v>413</v>
      </c>
      <c r="AB46" s="607" t="s">
        <v>413</v>
      </c>
      <c r="AC46" s="607"/>
      <c r="AD46" s="607" t="s">
        <v>413</v>
      </c>
      <c r="AE46" s="607" t="s">
        <v>413</v>
      </c>
      <c r="AF46" s="607" t="s">
        <v>413</v>
      </c>
      <c r="AG46" s="607" t="s">
        <v>413</v>
      </c>
      <c r="AH46" s="607" t="s">
        <v>413</v>
      </c>
      <c r="AI46" s="607" t="s">
        <v>413</v>
      </c>
      <c r="AJ46" s="607"/>
      <c r="AK46" s="607" t="s">
        <v>413</v>
      </c>
      <c r="AL46" s="607" t="s">
        <v>413</v>
      </c>
      <c r="AM46" s="607" t="s">
        <v>413</v>
      </c>
      <c r="AN46" s="607" t="s">
        <v>413</v>
      </c>
      <c r="AO46" s="607" t="s">
        <v>413</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488</v>
      </c>
      <c r="L47" s="601" t="s">
        <v>521</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491</v>
      </c>
      <c r="L48" s="601" t="s">
        <v>489</v>
      </c>
      <c r="M48" s="613"/>
      <c r="N48" s="607"/>
      <c r="O48" s="607"/>
      <c r="P48" s="607" t="s">
        <v>225</v>
      </c>
      <c r="Q48" s="607" t="s">
        <v>225</v>
      </c>
      <c r="R48" s="607" t="s">
        <v>225</v>
      </c>
      <c r="S48" s="607"/>
      <c r="T48" s="607"/>
      <c r="U48" s="607"/>
      <c r="V48" s="607"/>
      <c r="W48" s="607" t="s">
        <v>225</v>
      </c>
      <c r="X48" s="607"/>
      <c r="Y48" s="607" t="s">
        <v>225</v>
      </c>
      <c r="Z48" s="607"/>
      <c r="AA48" s="607"/>
      <c r="AB48" s="607"/>
      <c r="AC48" s="607"/>
      <c r="AD48" s="607" t="s">
        <v>225</v>
      </c>
      <c r="AE48" s="607" t="s">
        <v>225</v>
      </c>
      <c r="AF48" s="607" t="s">
        <v>225</v>
      </c>
      <c r="AG48" s="607"/>
      <c r="AH48" s="607"/>
      <c r="AI48" s="607"/>
      <c r="AJ48" s="607"/>
      <c r="AK48" s="607" t="s">
        <v>225</v>
      </c>
      <c r="AL48" s="607" t="s">
        <v>225</v>
      </c>
      <c r="AM48" s="607" t="s">
        <v>225</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492</v>
      </c>
      <c r="L49" s="601" t="s">
        <v>489</v>
      </c>
      <c r="M49" s="613"/>
      <c r="N49" s="607"/>
      <c r="O49" s="607"/>
      <c r="P49" s="603"/>
      <c r="Q49" s="607"/>
      <c r="R49" s="607"/>
      <c r="S49" s="607"/>
      <c r="T49" s="607"/>
      <c r="U49" s="607"/>
      <c r="V49" s="607"/>
      <c r="W49" s="607"/>
      <c r="X49" s="607"/>
      <c r="Y49" s="607"/>
      <c r="Z49" s="607"/>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496</v>
      </c>
      <c r="L53" s="601" t="s">
        <v>489</v>
      </c>
      <c r="M53" s="602"/>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669</v>
      </c>
      <c r="L61" s="601" t="s">
        <v>489</v>
      </c>
      <c r="M61" s="613"/>
      <c r="N61" s="607" t="s">
        <v>225</v>
      </c>
      <c r="O61" s="607"/>
      <c r="P61" s="607"/>
      <c r="Q61" s="607" t="s">
        <v>225</v>
      </c>
      <c r="R61" s="607" t="s">
        <v>225</v>
      </c>
      <c r="S61" s="607"/>
      <c r="T61" s="607"/>
      <c r="U61" s="607" t="s">
        <v>225</v>
      </c>
      <c r="V61" s="607"/>
      <c r="W61" s="607"/>
      <c r="X61" s="607" t="s">
        <v>225</v>
      </c>
      <c r="Y61" s="607" t="s">
        <v>225</v>
      </c>
      <c r="Z61" s="607"/>
      <c r="AA61" s="607"/>
      <c r="AB61" s="607" t="s">
        <v>225</v>
      </c>
      <c r="AC61" s="607"/>
      <c r="AD61" s="607"/>
      <c r="AE61" s="607" t="s">
        <v>225</v>
      </c>
      <c r="AF61" s="607" t="s">
        <v>225</v>
      </c>
      <c r="AG61" s="607"/>
      <c r="AH61" s="607"/>
      <c r="AI61" s="607" t="s">
        <v>225</v>
      </c>
      <c r="AJ61" s="607"/>
      <c r="AK61" s="607"/>
      <c r="AL61" s="607" t="s">
        <v>225</v>
      </c>
      <c r="AM61" s="607" t="s">
        <v>225</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502</v>
      </c>
      <c r="L62" s="601" t="s">
        <v>489</v>
      </c>
      <c r="M62" s="613"/>
      <c r="N62" s="607" t="s">
        <v>225</v>
      </c>
      <c r="O62" s="607" t="s">
        <v>225</v>
      </c>
      <c r="P62" s="607" t="s">
        <v>225</v>
      </c>
      <c r="Q62" s="607" t="s">
        <v>225</v>
      </c>
      <c r="R62" s="607" t="s">
        <v>225</v>
      </c>
      <c r="S62" s="607"/>
      <c r="T62" s="607"/>
      <c r="U62" s="607" t="s">
        <v>225</v>
      </c>
      <c r="V62" s="607" t="s">
        <v>225</v>
      </c>
      <c r="W62" s="607" t="s">
        <v>225</v>
      </c>
      <c r="X62" s="607" t="s">
        <v>225</v>
      </c>
      <c r="Y62" s="607" t="s">
        <v>225</v>
      </c>
      <c r="Z62" s="607"/>
      <c r="AA62" s="607"/>
      <c r="AB62" s="607" t="s">
        <v>225</v>
      </c>
      <c r="AC62" s="607" t="s">
        <v>225</v>
      </c>
      <c r="AD62" s="607" t="s">
        <v>225</v>
      </c>
      <c r="AE62" s="607" t="s">
        <v>225</v>
      </c>
      <c r="AF62" s="607" t="s">
        <v>225</v>
      </c>
      <c r="AG62" s="607"/>
      <c r="AH62" s="607"/>
      <c r="AI62" s="607" t="s">
        <v>225</v>
      </c>
      <c r="AJ62" s="607" t="s">
        <v>225</v>
      </c>
      <c r="AK62" s="607" t="s">
        <v>225</v>
      </c>
      <c r="AL62" s="607" t="s">
        <v>225</v>
      </c>
      <c r="AM62" s="607" t="s">
        <v>225</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503</v>
      </c>
      <c r="L63" s="601" t="s">
        <v>489</v>
      </c>
      <c r="M63" s="613"/>
      <c r="N63" s="607" t="s">
        <v>225</v>
      </c>
      <c r="O63" s="607" t="s">
        <v>225</v>
      </c>
      <c r="P63" s="607" t="s">
        <v>225</v>
      </c>
      <c r="Q63" s="607"/>
      <c r="R63" s="607" t="s">
        <v>225</v>
      </c>
      <c r="S63" s="607" t="s">
        <v>225</v>
      </c>
      <c r="T63" s="607" t="s">
        <v>225</v>
      </c>
      <c r="U63" s="607" t="s">
        <v>225</v>
      </c>
      <c r="V63" s="607" t="s">
        <v>225</v>
      </c>
      <c r="W63" s="607" t="s">
        <v>225</v>
      </c>
      <c r="X63" s="607"/>
      <c r="Y63" s="607" t="s">
        <v>225</v>
      </c>
      <c r="Z63" s="607" t="s">
        <v>225</v>
      </c>
      <c r="AA63" s="607" t="s">
        <v>225</v>
      </c>
      <c r="AB63" s="607"/>
      <c r="AC63" s="607" t="s">
        <v>225</v>
      </c>
      <c r="AD63" s="607" t="s">
        <v>225</v>
      </c>
      <c r="AE63" s="607"/>
      <c r="AF63" s="607" t="s">
        <v>225</v>
      </c>
      <c r="AG63" s="607"/>
      <c r="AH63" s="607"/>
      <c r="AI63" s="607"/>
      <c r="AJ63" s="607" t="s">
        <v>225</v>
      </c>
      <c r="AK63" s="607" t="s">
        <v>225</v>
      </c>
      <c r="AL63" s="607"/>
      <c r="AM63" s="607" t="s">
        <v>225</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504</v>
      </c>
      <c r="L64" s="601" t="s">
        <v>489</v>
      </c>
      <c r="M64" s="613"/>
      <c r="N64" s="607" t="s">
        <v>225</v>
      </c>
      <c r="O64" s="607" t="s">
        <v>225</v>
      </c>
      <c r="P64" s="607"/>
      <c r="Q64" s="607"/>
      <c r="R64" s="607" t="s">
        <v>225</v>
      </c>
      <c r="S64" s="607" t="s">
        <v>225</v>
      </c>
      <c r="T64" s="607" t="s">
        <v>225</v>
      </c>
      <c r="U64" s="607" t="s">
        <v>225</v>
      </c>
      <c r="V64" s="607" t="s">
        <v>225</v>
      </c>
      <c r="W64" s="607"/>
      <c r="X64" s="607"/>
      <c r="Y64" s="607" t="s">
        <v>225</v>
      </c>
      <c r="Z64" s="607" t="s">
        <v>225</v>
      </c>
      <c r="AA64" s="607" t="s">
        <v>225</v>
      </c>
      <c r="AB64" s="607" t="s">
        <v>225</v>
      </c>
      <c r="AC64" s="607" t="s">
        <v>225</v>
      </c>
      <c r="AD64" s="607"/>
      <c r="AE64" s="607"/>
      <c r="AF64" s="607" t="s">
        <v>225</v>
      </c>
      <c r="AG64" s="607" t="s">
        <v>225</v>
      </c>
      <c r="AH64" s="607" t="s">
        <v>225</v>
      </c>
      <c r="AI64" s="607" t="s">
        <v>225</v>
      </c>
      <c r="AJ64" s="607" t="s">
        <v>225</v>
      </c>
      <c r="AK64" s="607"/>
      <c r="AL64" s="607"/>
      <c r="AM64" s="607" t="s">
        <v>225</v>
      </c>
      <c r="AN64" s="607" t="s">
        <v>225</v>
      </c>
      <c r="AO64" s="607" t="s">
        <v>225</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506</v>
      </c>
      <c r="L65" s="601" t="s">
        <v>489</v>
      </c>
      <c r="M65" s="613"/>
      <c r="N65" s="603"/>
      <c r="O65" s="603"/>
      <c r="P65" s="607"/>
      <c r="Q65" s="603"/>
      <c r="R65" s="607" t="s">
        <v>225</v>
      </c>
      <c r="S65" s="607" t="s">
        <v>225</v>
      </c>
      <c r="T65" s="607"/>
      <c r="U65" s="607"/>
      <c r="V65" s="607"/>
      <c r="W65" s="607"/>
      <c r="X65" s="607"/>
      <c r="Y65" s="607" t="s">
        <v>225</v>
      </c>
      <c r="Z65" s="607" t="s">
        <v>225</v>
      </c>
      <c r="AA65" s="607"/>
      <c r="AB65" s="607"/>
      <c r="AC65" s="607"/>
      <c r="AD65" s="607"/>
      <c r="AE65" s="607"/>
      <c r="AF65" s="607" t="s">
        <v>225</v>
      </c>
      <c r="AG65" s="607" t="s">
        <v>225</v>
      </c>
      <c r="AH65" s="607"/>
      <c r="AI65" s="603"/>
      <c r="AJ65" s="603"/>
      <c r="AK65" s="607"/>
      <c r="AL65" s="603"/>
      <c r="AM65" s="607" t="s">
        <v>225</v>
      </c>
      <c r="AN65" s="607" t="s">
        <v>225</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507</v>
      </c>
      <c r="L66" s="601" t="s">
        <v>489</v>
      </c>
      <c r="M66" s="613"/>
      <c r="N66" s="607" t="s">
        <v>225</v>
      </c>
      <c r="O66" s="607" t="s">
        <v>225</v>
      </c>
      <c r="P66" s="603"/>
      <c r="Q66" s="603"/>
      <c r="R66" s="603"/>
      <c r="S66" s="607" t="s">
        <v>225</v>
      </c>
      <c r="T66" s="607" t="s">
        <v>225</v>
      </c>
      <c r="U66" s="607" t="s">
        <v>225</v>
      </c>
      <c r="V66" s="607" t="s">
        <v>225</v>
      </c>
      <c r="W66" s="607"/>
      <c r="X66" s="607"/>
      <c r="Y66" s="607"/>
      <c r="Z66" s="607" t="s">
        <v>225</v>
      </c>
      <c r="AA66" s="607" t="s">
        <v>225</v>
      </c>
      <c r="AB66" s="607" t="s">
        <v>225</v>
      </c>
      <c r="AC66" s="607" t="s">
        <v>225</v>
      </c>
      <c r="AD66" s="607"/>
      <c r="AE66" s="607"/>
      <c r="AF66" s="607"/>
      <c r="AG66" s="607" t="s">
        <v>225</v>
      </c>
      <c r="AH66" s="607" t="s">
        <v>225</v>
      </c>
      <c r="AI66" s="607" t="s">
        <v>225</v>
      </c>
      <c r="AJ66" s="607" t="s">
        <v>225</v>
      </c>
      <c r="AK66" s="603"/>
      <c r="AL66" s="603"/>
      <c r="AM66" s="603"/>
      <c r="AN66" s="607" t="s">
        <v>225</v>
      </c>
      <c r="AO66" s="607" t="s">
        <v>225</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508</v>
      </c>
      <c r="L67" s="601" t="s">
        <v>489</v>
      </c>
      <c r="M67" s="613"/>
      <c r="N67" s="607" t="s">
        <v>225</v>
      </c>
      <c r="O67" s="607" t="s">
        <v>225</v>
      </c>
      <c r="P67" s="607" t="s">
        <v>225</v>
      </c>
      <c r="Q67" s="603"/>
      <c r="R67" s="607" t="s">
        <v>225</v>
      </c>
      <c r="S67" s="607" t="s">
        <v>225</v>
      </c>
      <c r="T67" s="607" t="s">
        <v>225</v>
      </c>
      <c r="U67" s="607" t="s">
        <v>225</v>
      </c>
      <c r="V67" s="607" t="s">
        <v>225</v>
      </c>
      <c r="W67" s="607" t="s">
        <v>225</v>
      </c>
      <c r="X67" s="603"/>
      <c r="Y67" s="607" t="s">
        <v>225</v>
      </c>
      <c r="Z67" s="607" t="s">
        <v>225</v>
      </c>
      <c r="AA67" s="607" t="s">
        <v>225</v>
      </c>
      <c r="AB67" s="607" t="s">
        <v>225</v>
      </c>
      <c r="AC67" s="607" t="s">
        <v>225</v>
      </c>
      <c r="AD67" s="607" t="s">
        <v>225</v>
      </c>
      <c r="AE67" s="603"/>
      <c r="AF67" s="607" t="s">
        <v>225</v>
      </c>
      <c r="AG67" s="607" t="s">
        <v>225</v>
      </c>
      <c r="AH67" s="607" t="s">
        <v>225</v>
      </c>
      <c r="AI67" s="607" t="s">
        <v>225</v>
      </c>
      <c r="AJ67" s="607" t="s">
        <v>225</v>
      </c>
      <c r="AK67" s="607" t="s">
        <v>225</v>
      </c>
      <c r="AL67" s="603"/>
      <c r="AM67" s="607" t="s">
        <v>225</v>
      </c>
      <c r="AN67" s="607" t="s">
        <v>225</v>
      </c>
      <c r="AO67" s="607" t="s">
        <v>225</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489</v>
      </c>
      <c r="M68" s="613"/>
      <c r="N68" s="607"/>
      <c r="O68" s="607"/>
      <c r="P68" s="607" t="s">
        <v>225</v>
      </c>
      <c r="Q68" s="607" t="s">
        <v>225</v>
      </c>
      <c r="R68" s="607" t="s">
        <v>225</v>
      </c>
      <c r="S68" s="607" t="s">
        <v>225</v>
      </c>
      <c r="T68" s="607"/>
      <c r="U68" s="607"/>
      <c r="V68" s="607"/>
      <c r="W68" s="607" t="s">
        <v>225</v>
      </c>
      <c r="X68" s="607" t="s">
        <v>634</v>
      </c>
      <c r="Y68" s="607" t="s">
        <v>225</v>
      </c>
      <c r="Z68" s="607" t="s">
        <v>225</v>
      </c>
      <c r="AA68" s="607"/>
      <c r="AB68" s="607"/>
      <c r="AC68" s="607"/>
      <c r="AD68" s="607" t="s">
        <v>225</v>
      </c>
      <c r="AE68" s="607" t="s">
        <v>225</v>
      </c>
      <c r="AF68" s="607" t="s">
        <v>225</v>
      </c>
      <c r="AG68" s="607" t="s">
        <v>225</v>
      </c>
      <c r="AH68" s="607"/>
      <c r="AI68" s="607"/>
      <c r="AJ68" s="607"/>
      <c r="AK68" s="607" t="s">
        <v>225</v>
      </c>
      <c r="AL68" s="607" t="s">
        <v>225</v>
      </c>
      <c r="AM68" s="607" t="s">
        <v>225</v>
      </c>
      <c r="AN68" s="607" t="s">
        <v>225</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489</v>
      </c>
      <c r="M69" s="613"/>
      <c r="N69" s="607" t="s">
        <v>225</v>
      </c>
      <c r="O69" s="607" t="s">
        <v>225</v>
      </c>
      <c r="P69" s="607" t="s">
        <v>225</v>
      </c>
      <c r="Q69" s="607" t="s">
        <v>225</v>
      </c>
      <c r="R69" s="607" t="s">
        <v>225</v>
      </c>
      <c r="S69" s="607"/>
      <c r="T69" s="607" t="s">
        <v>225</v>
      </c>
      <c r="U69" s="607" t="s">
        <v>225</v>
      </c>
      <c r="V69" s="607" t="s">
        <v>225</v>
      </c>
      <c r="W69" s="607" t="s">
        <v>225</v>
      </c>
      <c r="X69" s="607" t="s">
        <v>225</v>
      </c>
      <c r="Y69" s="607" t="s">
        <v>225</v>
      </c>
      <c r="Z69" s="607"/>
      <c r="AA69" s="607" t="s">
        <v>225</v>
      </c>
      <c r="AB69" s="607" t="s">
        <v>225</v>
      </c>
      <c r="AC69" s="607" t="s">
        <v>225</v>
      </c>
      <c r="AD69" s="607" t="s">
        <v>225</v>
      </c>
      <c r="AE69" s="607" t="s">
        <v>225</v>
      </c>
      <c r="AF69" s="607" t="s">
        <v>225</v>
      </c>
      <c r="AG69" s="607"/>
      <c r="AH69" s="607" t="s">
        <v>225</v>
      </c>
      <c r="AI69" s="607" t="s">
        <v>225</v>
      </c>
      <c r="AJ69" s="607" t="s">
        <v>225</v>
      </c>
      <c r="AK69" s="607" t="s">
        <v>225</v>
      </c>
      <c r="AL69" s="607" t="s">
        <v>225</v>
      </c>
      <c r="AM69" s="607" t="s">
        <v>225</v>
      </c>
      <c r="AN69" s="607"/>
      <c r="AO69" s="607" t="s">
        <v>225</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509</v>
      </c>
      <c r="L70" s="601" t="s">
        <v>489</v>
      </c>
      <c r="M70" s="602" t="s">
        <v>775</v>
      </c>
      <c r="N70" s="607" t="s">
        <v>225</v>
      </c>
      <c r="O70" s="607" t="s">
        <v>225</v>
      </c>
      <c r="P70" s="607"/>
      <c r="Q70" s="607"/>
      <c r="R70" s="607"/>
      <c r="S70" s="607"/>
      <c r="T70" s="607" t="s">
        <v>225</v>
      </c>
      <c r="U70" s="607" t="s">
        <v>225</v>
      </c>
      <c r="V70" s="607" t="s">
        <v>225</v>
      </c>
      <c r="W70" s="607"/>
      <c r="X70" s="607"/>
      <c r="Y70" s="607"/>
      <c r="Z70" s="607"/>
      <c r="AA70" s="607" t="s">
        <v>225</v>
      </c>
      <c r="AB70" s="607" t="s">
        <v>225</v>
      </c>
      <c r="AC70" s="607" t="s">
        <v>225</v>
      </c>
      <c r="AD70" s="607"/>
      <c r="AE70" s="607"/>
      <c r="AF70" s="607"/>
      <c r="AG70" s="607"/>
      <c r="AH70" s="607" t="s">
        <v>225</v>
      </c>
      <c r="AI70" s="607" t="s">
        <v>225</v>
      </c>
      <c r="AJ70" s="607" t="s">
        <v>225</v>
      </c>
      <c r="AK70" s="607"/>
      <c r="AL70" s="607"/>
      <c r="AM70" s="607"/>
      <c r="AN70" s="607"/>
      <c r="AO70" s="607" t="s">
        <v>225</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640</v>
      </c>
      <c r="L71" s="601" t="s">
        <v>489</v>
      </c>
      <c r="M71" s="613"/>
      <c r="N71" s="607" t="s">
        <v>225</v>
      </c>
      <c r="O71" s="607"/>
      <c r="P71" s="607"/>
      <c r="Q71" s="607"/>
      <c r="R71" s="607" t="s">
        <v>225</v>
      </c>
      <c r="S71" s="607"/>
      <c r="T71" s="607" t="s">
        <v>225</v>
      </c>
      <c r="U71" s="607" t="s">
        <v>225</v>
      </c>
      <c r="V71" s="607"/>
      <c r="W71" s="607"/>
      <c r="X71" s="607"/>
      <c r="Y71" s="607" t="s">
        <v>225</v>
      </c>
      <c r="Z71" s="607"/>
      <c r="AA71" s="607" t="s">
        <v>225</v>
      </c>
      <c r="AB71" s="607" t="s">
        <v>225</v>
      </c>
      <c r="AC71" s="607"/>
      <c r="AD71" s="607"/>
      <c r="AE71" s="607"/>
      <c r="AF71" s="607" t="s">
        <v>225</v>
      </c>
      <c r="AG71" s="607"/>
      <c r="AH71" s="607" t="s">
        <v>225</v>
      </c>
      <c r="AI71" s="607" t="s">
        <v>225</v>
      </c>
      <c r="AJ71" s="607"/>
      <c r="AK71" s="607"/>
      <c r="AL71" s="607"/>
      <c r="AM71" s="607" t="s">
        <v>225</v>
      </c>
      <c r="AN71" s="607"/>
      <c r="AO71" s="607" t="s">
        <v>225</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510</v>
      </c>
      <c r="L72" s="601" t="s">
        <v>489</v>
      </c>
      <c r="M72" s="613"/>
      <c r="N72" s="607" t="s">
        <v>225</v>
      </c>
      <c r="O72" s="607" t="s">
        <v>225</v>
      </c>
      <c r="P72" s="607"/>
      <c r="Q72" s="607"/>
      <c r="R72" s="607"/>
      <c r="S72" s="607"/>
      <c r="T72" s="607" t="s">
        <v>225</v>
      </c>
      <c r="U72" s="607" t="s">
        <v>225</v>
      </c>
      <c r="V72" s="607" t="s">
        <v>225</v>
      </c>
      <c r="W72" s="607" t="s">
        <v>225</v>
      </c>
      <c r="X72" s="607" t="s">
        <v>225</v>
      </c>
      <c r="Y72" s="607"/>
      <c r="Z72" s="607" t="s">
        <v>225</v>
      </c>
      <c r="AA72" s="607" t="s">
        <v>225</v>
      </c>
      <c r="AB72" s="607" t="s">
        <v>225</v>
      </c>
      <c r="AC72" s="607" t="s">
        <v>225</v>
      </c>
      <c r="AD72" s="607" t="s">
        <v>225</v>
      </c>
      <c r="AE72" s="607" t="s">
        <v>225</v>
      </c>
      <c r="AF72" s="607"/>
      <c r="AG72" s="607" t="s">
        <v>225</v>
      </c>
      <c r="AH72" s="607" t="s">
        <v>225</v>
      </c>
      <c r="AI72" s="607" t="s">
        <v>225</v>
      </c>
      <c r="AJ72" s="607" t="s">
        <v>225</v>
      </c>
      <c r="AK72" s="607" t="s">
        <v>225</v>
      </c>
      <c r="AL72" s="607" t="s">
        <v>225</v>
      </c>
      <c r="AM72" s="607"/>
      <c r="AN72" s="607" t="s">
        <v>225</v>
      </c>
      <c r="AO72" s="607" t="s">
        <v>225</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489</v>
      </c>
      <c r="M73" s="613"/>
      <c r="N73" s="607"/>
      <c r="O73" s="607"/>
      <c r="P73" s="607" t="s">
        <v>225</v>
      </c>
      <c r="Q73" s="607" t="s">
        <v>225</v>
      </c>
      <c r="R73" s="607" t="s">
        <v>225</v>
      </c>
      <c r="S73" s="607"/>
      <c r="T73" s="607"/>
      <c r="U73" s="607"/>
      <c r="V73" s="607"/>
      <c r="W73" s="607" t="s">
        <v>225</v>
      </c>
      <c r="X73" s="607" t="s">
        <v>225</v>
      </c>
      <c r="Y73" s="607" t="s">
        <v>225</v>
      </c>
      <c r="Z73" s="607"/>
      <c r="AA73" s="607"/>
      <c r="AB73" s="607"/>
      <c r="AC73" s="607"/>
      <c r="AD73" s="607" t="s">
        <v>225</v>
      </c>
      <c r="AE73" s="607" t="s">
        <v>225</v>
      </c>
      <c r="AF73" s="607" t="s">
        <v>225</v>
      </c>
      <c r="AG73" s="607"/>
      <c r="AH73" s="607"/>
      <c r="AI73" s="607"/>
      <c r="AJ73" s="607"/>
      <c r="AK73" s="607" t="s">
        <v>225</v>
      </c>
      <c r="AL73" s="607" t="s">
        <v>225</v>
      </c>
      <c r="AM73" s="607" t="s">
        <v>225</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513</v>
      </c>
      <c r="L74" s="601" t="s">
        <v>489</v>
      </c>
      <c r="M74" s="613"/>
      <c r="N74" s="607" t="s">
        <v>225</v>
      </c>
      <c r="O74" s="607" t="s">
        <v>225</v>
      </c>
      <c r="P74" s="607" t="s">
        <v>225</v>
      </c>
      <c r="Q74" s="607" t="s">
        <v>225</v>
      </c>
      <c r="R74" s="607" t="s">
        <v>225</v>
      </c>
      <c r="S74" s="607"/>
      <c r="T74" s="607" t="s">
        <v>225</v>
      </c>
      <c r="U74" s="607" t="s">
        <v>225</v>
      </c>
      <c r="V74" s="607" t="s">
        <v>225</v>
      </c>
      <c r="W74" s="607" t="s">
        <v>225</v>
      </c>
      <c r="X74" s="607" t="s">
        <v>225</v>
      </c>
      <c r="Y74" s="607" t="s">
        <v>225</v>
      </c>
      <c r="Z74" s="607"/>
      <c r="AA74" s="607" t="s">
        <v>225</v>
      </c>
      <c r="AB74" s="607" t="s">
        <v>225</v>
      </c>
      <c r="AC74" s="607" t="s">
        <v>225</v>
      </c>
      <c r="AD74" s="607" t="s">
        <v>225</v>
      </c>
      <c r="AE74" s="607" t="s">
        <v>225</v>
      </c>
      <c r="AF74" s="607" t="s">
        <v>225</v>
      </c>
      <c r="AG74" s="607"/>
      <c r="AH74" s="607" t="s">
        <v>225</v>
      </c>
      <c r="AI74" s="607" t="s">
        <v>225</v>
      </c>
      <c r="AJ74" s="607" t="s">
        <v>225</v>
      </c>
      <c r="AK74" s="607" t="s">
        <v>225</v>
      </c>
      <c r="AL74" s="607" t="s">
        <v>225</v>
      </c>
      <c r="AM74" s="607" t="s">
        <v>225</v>
      </c>
      <c r="AN74" s="607"/>
      <c r="AO74" s="607" t="s">
        <v>225</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514</v>
      </c>
      <c r="L75" s="601" t="s">
        <v>489</v>
      </c>
      <c r="M75" s="602" t="s">
        <v>490</v>
      </c>
      <c r="N75" s="607" t="s">
        <v>225</v>
      </c>
      <c r="O75" s="607" t="s">
        <v>413</v>
      </c>
      <c r="P75" s="607" t="s">
        <v>225</v>
      </c>
      <c r="Q75" s="607" t="s">
        <v>225</v>
      </c>
      <c r="R75" s="607" t="s">
        <v>225</v>
      </c>
      <c r="S75" s="607" t="s">
        <v>225</v>
      </c>
      <c r="T75" s="603"/>
      <c r="U75" s="607" t="s">
        <v>225</v>
      </c>
      <c r="V75" s="607" t="s">
        <v>413</v>
      </c>
      <c r="W75" s="607" t="s">
        <v>225</v>
      </c>
      <c r="X75" s="607" t="s">
        <v>225</v>
      </c>
      <c r="Y75" s="607" t="s">
        <v>225</v>
      </c>
      <c r="Z75" s="607" t="s">
        <v>225</v>
      </c>
      <c r="AA75" s="607"/>
      <c r="AB75" s="607" t="s">
        <v>225</v>
      </c>
      <c r="AC75" s="607" t="s">
        <v>413</v>
      </c>
      <c r="AD75" s="607" t="s">
        <v>225</v>
      </c>
      <c r="AE75" s="607" t="s">
        <v>225</v>
      </c>
      <c r="AF75" s="607" t="s">
        <v>225</v>
      </c>
      <c r="AG75" s="607" t="s">
        <v>225</v>
      </c>
      <c r="AH75" s="603"/>
      <c r="AI75" s="607" t="s">
        <v>225</v>
      </c>
      <c r="AJ75" s="607" t="s">
        <v>413</v>
      </c>
      <c r="AK75" s="607" t="s">
        <v>225</v>
      </c>
      <c r="AL75" s="607" t="s">
        <v>225</v>
      </c>
      <c r="AM75" s="607" t="s">
        <v>225</v>
      </c>
      <c r="AN75" s="607" t="s">
        <v>225</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489</v>
      </c>
      <c r="M76" s="613"/>
      <c r="N76" s="607" t="s">
        <v>225</v>
      </c>
      <c r="O76" s="607" t="s">
        <v>225</v>
      </c>
      <c r="P76" s="607" t="s">
        <v>225</v>
      </c>
      <c r="Q76" s="603"/>
      <c r="R76" s="607" t="s">
        <v>225</v>
      </c>
      <c r="S76" s="607" t="s">
        <v>225</v>
      </c>
      <c r="T76" s="607" t="s">
        <v>225</v>
      </c>
      <c r="U76" s="607" t="s">
        <v>225</v>
      </c>
      <c r="V76" s="607" t="s">
        <v>225</v>
      </c>
      <c r="W76" s="607" t="s">
        <v>225</v>
      </c>
      <c r="X76" s="607"/>
      <c r="Y76" s="607" t="s">
        <v>225</v>
      </c>
      <c r="Z76" s="607" t="s">
        <v>225</v>
      </c>
      <c r="AA76" s="607" t="s">
        <v>225</v>
      </c>
      <c r="AB76" s="607" t="s">
        <v>225</v>
      </c>
      <c r="AC76" s="607" t="s">
        <v>225</v>
      </c>
      <c r="AD76" s="607" t="s">
        <v>225</v>
      </c>
      <c r="AE76" s="607"/>
      <c r="AF76" s="607" t="s">
        <v>225</v>
      </c>
      <c r="AG76" s="607" t="s">
        <v>225</v>
      </c>
      <c r="AH76" s="607" t="s">
        <v>225</v>
      </c>
      <c r="AI76" s="607" t="s">
        <v>225</v>
      </c>
      <c r="AJ76" s="607" t="s">
        <v>225</v>
      </c>
      <c r="AK76" s="607" t="s">
        <v>225</v>
      </c>
      <c r="AL76" s="603"/>
      <c r="AM76" s="607" t="s">
        <v>225</v>
      </c>
      <c r="AN76" s="607" t="s">
        <v>225</v>
      </c>
      <c r="AO76" s="607" t="s">
        <v>225</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515</v>
      </c>
      <c r="L77" s="601" t="s">
        <v>489</v>
      </c>
      <c r="M77" s="613"/>
      <c r="N77" s="607" t="s">
        <v>225</v>
      </c>
      <c r="O77" s="607" t="s">
        <v>430</v>
      </c>
      <c r="P77" s="603"/>
      <c r="Q77" s="603"/>
      <c r="R77" s="603"/>
      <c r="S77" s="607" t="s">
        <v>225</v>
      </c>
      <c r="T77" s="607" t="s">
        <v>225</v>
      </c>
      <c r="U77" s="607" t="s">
        <v>225</v>
      </c>
      <c r="V77" s="607" t="s">
        <v>225</v>
      </c>
      <c r="W77" s="603"/>
      <c r="X77" s="603"/>
      <c r="Y77" s="603"/>
      <c r="Z77" s="607" t="s">
        <v>225</v>
      </c>
      <c r="AA77" s="607" t="s">
        <v>225</v>
      </c>
      <c r="AB77" s="607" t="s">
        <v>225</v>
      </c>
      <c r="AC77" s="607" t="s">
        <v>225</v>
      </c>
      <c r="AD77" s="603"/>
      <c r="AE77" s="603"/>
      <c r="AF77" s="603"/>
      <c r="AG77" s="607" t="s">
        <v>225</v>
      </c>
      <c r="AH77" s="607" t="s">
        <v>225</v>
      </c>
      <c r="AI77" s="607" t="s">
        <v>225</v>
      </c>
      <c r="AJ77" s="607" t="s">
        <v>225</v>
      </c>
      <c r="AK77" s="603"/>
      <c r="AL77" s="603"/>
      <c r="AM77" s="603"/>
      <c r="AN77" s="607" t="s">
        <v>225</v>
      </c>
      <c r="AO77" s="607" t="s">
        <v>225</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675</v>
      </c>
      <c r="L78" s="601" t="s">
        <v>489</v>
      </c>
      <c r="M78" s="613"/>
      <c r="N78" s="607" t="s">
        <v>225</v>
      </c>
      <c r="O78" s="607" t="s">
        <v>225</v>
      </c>
      <c r="P78" s="607"/>
      <c r="Q78" s="607"/>
      <c r="R78" s="607"/>
      <c r="S78" s="607" t="s">
        <v>225</v>
      </c>
      <c r="T78" s="607"/>
      <c r="U78" s="607" t="s">
        <v>225</v>
      </c>
      <c r="V78" s="607" t="s">
        <v>225</v>
      </c>
      <c r="W78" s="607"/>
      <c r="X78" s="607"/>
      <c r="Y78" s="607"/>
      <c r="Z78" s="607" t="s">
        <v>225</v>
      </c>
      <c r="AA78" s="607"/>
      <c r="AB78" s="607" t="s">
        <v>225</v>
      </c>
      <c r="AC78" s="607" t="s">
        <v>225</v>
      </c>
      <c r="AD78" s="607"/>
      <c r="AE78" s="607"/>
      <c r="AF78" s="607"/>
      <c r="AG78" s="607" t="s">
        <v>225</v>
      </c>
      <c r="AH78" s="607"/>
      <c r="AI78" s="607" t="s">
        <v>225</v>
      </c>
      <c r="AJ78" s="607" t="s">
        <v>225</v>
      </c>
      <c r="AK78" s="607"/>
      <c r="AL78" s="607"/>
      <c r="AM78" s="607"/>
      <c r="AN78" s="607" t="s">
        <v>225</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516</v>
      </c>
      <c r="L79" s="601" t="s">
        <v>489</v>
      </c>
      <c r="M79" s="613"/>
      <c r="N79" s="607"/>
      <c r="O79" s="607"/>
      <c r="P79" s="607" t="s">
        <v>225</v>
      </c>
      <c r="Q79" s="607" t="s">
        <v>225</v>
      </c>
      <c r="R79" s="607"/>
      <c r="S79" s="607" t="s">
        <v>225</v>
      </c>
      <c r="T79" s="607"/>
      <c r="U79" s="607"/>
      <c r="V79" s="607"/>
      <c r="W79" s="607" t="s">
        <v>225</v>
      </c>
      <c r="X79" s="607" t="s">
        <v>225</v>
      </c>
      <c r="Y79" s="607"/>
      <c r="Z79" s="607" t="s">
        <v>225</v>
      </c>
      <c r="AA79" s="607"/>
      <c r="AB79" s="607"/>
      <c r="AC79" s="607"/>
      <c r="AD79" s="607" t="s">
        <v>225</v>
      </c>
      <c r="AE79" s="607" t="s">
        <v>225</v>
      </c>
      <c r="AF79" s="607"/>
      <c r="AG79" s="607" t="s">
        <v>225</v>
      </c>
      <c r="AH79" s="607"/>
      <c r="AI79" s="607"/>
      <c r="AJ79" s="607"/>
      <c r="AK79" s="607" t="s">
        <v>225</v>
      </c>
      <c r="AL79" s="607" t="s">
        <v>225</v>
      </c>
      <c r="AM79" s="607"/>
      <c r="AN79" s="607" t="s">
        <v>225</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489</v>
      </c>
      <c r="M80" s="613"/>
      <c r="N80" s="607"/>
      <c r="O80" s="607"/>
      <c r="P80" s="607" t="s">
        <v>225</v>
      </c>
      <c r="Q80" s="607" t="s">
        <v>225</v>
      </c>
      <c r="R80" s="607"/>
      <c r="S80" s="607" t="s">
        <v>225</v>
      </c>
      <c r="T80" s="607"/>
      <c r="U80" s="607"/>
      <c r="V80" s="607"/>
      <c r="W80" s="607" t="s">
        <v>225</v>
      </c>
      <c r="X80" s="607" t="s">
        <v>225</v>
      </c>
      <c r="Y80" s="607"/>
      <c r="Z80" s="607" t="s">
        <v>225</v>
      </c>
      <c r="AA80" s="607"/>
      <c r="AB80" s="607"/>
      <c r="AC80" s="607"/>
      <c r="AD80" s="607" t="s">
        <v>225</v>
      </c>
      <c r="AE80" s="607" t="s">
        <v>225</v>
      </c>
      <c r="AF80" s="607"/>
      <c r="AG80" s="607" t="s">
        <v>225</v>
      </c>
      <c r="AH80" s="607"/>
      <c r="AI80" s="607"/>
      <c r="AJ80" s="607"/>
      <c r="AK80" s="607" t="s">
        <v>225</v>
      </c>
      <c r="AL80" s="607" t="s">
        <v>225</v>
      </c>
      <c r="AM80" s="607"/>
      <c r="AN80" s="607" t="s">
        <v>225</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517</v>
      </c>
      <c r="L81" s="601" t="s">
        <v>489</v>
      </c>
      <c r="M81" s="613"/>
      <c r="N81" s="607" t="s">
        <v>225</v>
      </c>
      <c r="O81" s="607" t="s">
        <v>225</v>
      </c>
      <c r="P81" s="607"/>
      <c r="Q81" s="607"/>
      <c r="R81" s="607"/>
      <c r="S81" s="607"/>
      <c r="T81" s="607" t="s">
        <v>225</v>
      </c>
      <c r="U81" s="607" t="s">
        <v>225</v>
      </c>
      <c r="V81" s="607" t="s">
        <v>225</v>
      </c>
      <c r="W81" s="607"/>
      <c r="X81" s="607"/>
      <c r="Y81" s="607"/>
      <c r="Z81" s="607"/>
      <c r="AA81" s="607" t="s">
        <v>225</v>
      </c>
      <c r="AB81" s="607" t="s">
        <v>225</v>
      </c>
      <c r="AC81" s="607" t="s">
        <v>225</v>
      </c>
      <c r="AD81" s="607"/>
      <c r="AE81" s="607"/>
      <c r="AF81" s="607"/>
      <c r="AG81" s="607"/>
      <c r="AH81" s="607" t="s">
        <v>225</v>
      </c>
      <c r="AI81" s="607" t="s">
        <v>225</v>
      </c>
      <c r="AJ81" s="607" t="s">
        <v>225</v>
      </c>
      <c r="AK81" s="607"/>
      <c r="AL81" s="607"/>
      <c r="AM81" s="607"/>
      <c r="AN81" s="607"/>
      <c r="AO81" s="607" t="s">
        <v>225</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489</v>
      </c>
      <c r="M82" s="613"/>
      <c r="N82" s="607"/>
      <c r="O82" s="607" t="s">
        <v>225</v>
      </c>
      <c r="P82" s="607" t="s">
        <v>225</v>
      </c>
      <c r="Q82" s="607" t="s">
        <v>225</v>
      </c>
      <c r="R82" s="607"/>
      <c r="S82" s="607"/>
      <c r="T82" s="607"/>
      <c r="U82" s="607"/>
      <c r="V82" s="607" t="s">
        <v>225</v>
      </c>
      <c r="W82" s="607" t="s">
        <v>225</v>
      </c>
      <c r="X82" s="607" t="s">
        <v>225</v>
      </c>
      <c r="Y82" s="607"/>
      <c r="Z82" s="607"/>
      <c r="AA82" s="607"/>
      <c r="AB82" s="607"/>
      <c r="AC82" s="607" t="s">
        <v>225</v>
      </c>
      <c r="AD82" s="607" t="s">
        <v>225</v>
      </c>
      <c r="AE82" s="607" t="s">
        <v>225</v>
      </c>
      <c r="AF82" s="607"/>
      <c r="AG82" s="607"/>
      <c r="AH82" s="607"/>
      <c r="AI82" s="607"/>
      <c r="AJ82" s="607" t="s">
        <v>225</v>
      </c>
      <c r="AK82" s="607" t="s">
        <v>225</v>
      </c>
      <c r="AL82" s="607" t="s">
        <v>225</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489</v>
      </c>
      <c r="M83" s="613"/>
      <c r="N83" s="607" t="s">
        <v>225</v>
      </c>
      <c r="O83" s="607" t="s">
        <v>225</v>
      </c>
      <c r="P83" s="607" t="s">
        <v>225</v>
      </c>
      <c r="Q83" s="607" t="s">
        <v>225</v>
      </c>
      <c r="R83" s="607" t="s">
        <v>225</v>
      </c>
      <c r="S83" s="607" t="s">
        <v>225</v>
      </c>
      <c r="T83" s="607"/>
      <c r="U83" s="607" t="s">
        <v>225</v>
      </c>
      <c r="V83" s="607" t="s">
        <v>225</v>
      </c>
      <c r="W83" s="607" t="s">
        <v>225</v>
      </c>
      <c r="X83" s="607" t="s">
        <v>225</v>
      </c>
      <c r="Y83" s="607" t="s">
        <v>225</v>
      </c>
      <c r="Z83" s="607" t="s">
        <v>225</v>
      </c>
      <c r="AA83" s="607"/>
      <c r="AB83" s="607" t="s">
        <v>225</v>
      </c>
      <c r="AC83" s="607" t="s">
        <v>225</v>
      </c>
      <c r="AD83" s="607" t="s">
        <v>225</v>
      </c>
      <c r="AE83" s="607" t="s">
        <v>225</v>
      </c>
      <c r="AF83" s="607" t="s">
        <v>225</v>
      </c>
      <c r="AG83" s="607" t="s">
        <v>225</v>
      </c>
      <c r="AH83" s="607"/>
      <c r="AI83" s="607" t="s">
        <v>225</v>
      </c>
      <c r="AJ83" s="607" t="s">
        <v>225</v>
      </c>
      <c r="AK83" s="607" t="s">
        <v>225</v>
      </c>
      <c r="AL83" s="607" t="s">
        <v>225</v>
      </c>
      <c r="AM83" s="607" t="s">
        <v>225</v>
      </c>
      <c r="AN83" s="607" t="s">
        <v>225</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521</v>
      </c>
      <c r="M84" s="613"/>
      <c r="N84" s="607"/>
      <c r="O84" s="607" t="s">
        <v>225</v>
      </c>
      <c r="P84" s="607" t="s">
        <v>225</v>
      </c>
      <c r="Q84" s="607" t="s">
        <v>225</v>
      </c>
      <c r="R84" s="607" t="s">
        <v>225</v>
      </c>
      <c r="S84" s="607" t="s">
        <v>225</v>
      </c>
      <c r="T84" s="607" t="s">
        <v>225</v>
      </c>
      <c r="U84" s="607"/>
      <c r="V84" s="607" t="s">
        <v>225</v>
      </c>
      <c r="W84" s="607" t="s">
        <v>225</v>
      </c>
      <c r="X84" s="607" t="s">
        <v>225</v>
      </c>
      <c r="Y84" s="607" t="s">
        <v>225</v>
      </c>
      <c r="Z84" s="607" t="s">
        <v>225</v>
      </c>
      <c r="AA84" s="607" t="s">
        <v>225</v>
      </c>
      <c r="AB84" s="607"/>
      <c r="AC84" s="607" t="s">
        <v>225</v>
      </c>
      <c r="AD84" s="607" t="s">
        <v>225</v>
      </c>
      <c r="AE84" s="607" t="s">
        <v>225</v>
      </c>
      <c r="AF84" s="607" t="s">
        <v>225</v>
      </c>
      <c r="AG84" s="607" t="s">
        <v>225</v>
      </c>
      <c r="AH84" s="607" t="s">
        <v>225</v>
      </c>
      <c r="AI84" s="607"/>
      <c r="AJ84" s="607" t="s">
        <v>225</v>
      </c>
      <c r="AK84" s="607" t="s">
        <v>225</v>
      </c>
      <c r="AL84" s="607" t="s">
        <v>225</v>
      </c>
      <c r="AM84" s="607" t="s">
        <v>225</v>
      </c>
      <c r="AN84" s="607"/>
      <c r="AO84" s="607" t="s">
        <v>225</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521</v>
      </c>
      <c r="M85" s="613"/>
      <c r="N85" s="607" t="s">
        <v>225</v>
      </c>
      <c r="O85" s="607" t="s">
        <v>225</v>
      </c>
      <c r="P85" s="607" t="s">
        <v>225</v>
      </c>
      <c r="Q85" s="607" t="s">
        <v>225</v>
      </c>
      <c r="R85" s="607" t="s">
        <v>225</v>
      </c>
      <c r="S85" s="603"/>
      <c r="T85" s="607" t="s">
        <v>225</v>
      </c>
      <c r="U85" s="607" t="s">
        <v>225</v>
      </c>
      <c r="V85" s="607" t="s">
        <v>225</v>
      </c>
      <c r="W85" s="607" t="s">
        <v>225</v>
      </c>
      <c r="X85" s="607" t="s">
        <v>225</v>
      </c>
      <c r="Y85" s="607" t="s">
        <v>225</v>
      </c>
      <c r="Z85" s="607"/>
      <c r="AA85" s="607" t="s">
        <v>225</v>
      </c>
      <c r="AB85" s="607" t="s">
        <v>225</v>
      </c>
      <c r="AC85" s="607" t="s">
        <v>225</v>
      </c>
      <c r="AD85" s="607" t="s">
        <v>225</v>
      </c>
      <c r="AE85" s="607" t="s">
        <v>225</v>
      </c>
      <c r="AF85" s="607" t="s">
        <v>225</v>
      </c>
      <c r="AG85" s="603"/>
      <c r="AH85" s="607" t="s">
        <v>225</v>
      </c>
      <c r="AI85" s="607" t="s">
        <v>225</v>
      </c>
      <c r="AJ85" s="607" t="s">
        <v>225</v>
      </c>
      <c r="AK85" s="607" t="s">
        <v>225</v>
      </c>
      <c r="AL85" s="607" t="s">
        <v>225</v>
      </c>
      <c r="AM85" s="607" t="s">
        <v>225</v>
      </c>
      <c r="AN85" s="603"/>
      <c r="AO85" s="607" t="s">
        <v>225</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776</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777</v>
      </c>
      <c r="G9" s="702" t="s">
        <v>778</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491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t="18.0" hidden="1" customHeight="1" outlineLevel="1">
      <c r="B19" s="717"/>
      <c r="C19" s="676"/>
      <c r="D19" s="676"/>
      <c r="E19" s="676"/>
      <c r="F19" s="718" t="s">
        <v>552</v>
      </c>
      <c r="G19" s="719" t="s">
        <v>779</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495</v>
      </c>
      <c r="W19" s="695"/>
      <c r="X19" s="696">
        <v>46388.0</v>
      </c>
      <c r="Y19" s="640"/>
      <c r="Z19" s="640"/>
    </row>
    <row r="20" hidden="1" outlineLevel="1">
      <c r="A20" s="640"/>
      <c r="B20" s="722"/>
      <c r="C20" s="723">
        <f>IF(C9="","",IF(DAY(C9+1)=1,"",C9+1))</f>
        <v>46055</v>
      </c>
      <c r="D20" s="724" t="str">
        <f>TEXT(C20,"ddd")</f>
        <v>月</v>
      </c>
      <c r="E20" s="725"/>
      <c r="F20" s="726" t="s">
        <v>178</v>
      </c>
      <c r="G20" s="727" t="s">
        <v>780</v>
      </c>
      <c r="H20" s="728"/>
      <c r="I20" s="729">
        <v>0.6458333333333334</v>
      </c>
      <c r="J20" s="728">
        <v>19.0</v>
      </c>
      <c r="K20" s="728">
        <v>6.0</v>
      </c>
      <c r="L20" s="730" t="s">
        <v>132</v>
      </c>
      <c r="M20" s="730" t="s">
        <v>781</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499</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653</v>
      </c>
      <c r="W29" s="640"/>
      <c r="X29" s="735"/>
      <c r="Y29" s="640"/>
      <c r="Z29" s="640"/>
    </row>
    <row r="30" ht="18.0" hidden="1" customHeight="1" outlineLevel="1">
      <c r="A30" s="640"/>
      <c r="B30" s="717"/>
      <c r="C30" s="676"/>
      <c r="D30" s="676"/>
      <c r="E30" s="676"/>
      <c r="F30" s="736" t="s">
        <v>552</v>
      </c>
      <c r="G30" s="737" t="s">
        <v>782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501</v>
      </c>
      <c r="W30" s="640"/>
      <c r="X30" s="735"/>
      <c r="Y30" s="640"/>
      <c r="Z30" s="640"/>
    </row>
    <row r="31" ht="30.75" hidden="1" customHeight="1" outlineLevel="1">
      <c r="A31" s="640"/>
      <c r="B31" s="739"/>
      <c r="C31" s="740">
        <f>IF(C20="","",IF(DAY(C20+1)=1,"",C20+1))</f>
        <v>46056</v>
      </c>
      <c r="D31" s="741" t="str">
        <f>TEXT(C31,"ddd")</f>
        <v>火</v>
      </c>
      <c r="E31" s="742"/>
      <c r="F31" s="743" t="s">
        <v>167</v>
      </c>
      <c r="G31" s="744" t="s">
        <v>783</v>
      </c>
      <c r="H31" s="745"/>
      <c r="I31" s="900">
        <v>0.6041666666666666</v>
      </c>
      <c r="J31" s="745">
        <v>21.0</v>
      </c>
      <c r="K31" s="745">
        <v>6.0</v>
      </c>
      <c r="L31" s="747" t="s">
        <v>140</v>
      </c>
      <c r="M31" s="747" t="s">
        <v>784</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669</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502</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488</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670</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654</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504</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503</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672</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657</v>
      </c>
      <c r="W40" s="640"/>
      <c r="X40" s="735"/>
      <c r="Y40" s="640"/>
      <c r="Z40" s="640"/>
    </row>
    <row r="41" hidden="1" outlineLevel="1">
      <c r="A41" s="640"/>
      <c r="B41" s="717"/>
      <c r="C41" s="676"/>
      <c r="D41" s="676"/>
      <c r="E41" s="676"/>
      <c r="F41" s="718" t="s">
        <v>552</v>
      </c>
      <c r="G41" s="719" t="s">
        <v>785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t="37.5" hidden="1" customHeight="1" outlineLevel="1">
      <c r="A42" s="640"/>
      <c r="B42" s="722"/>
      <c r="C42" s="723">
        <f>IF(C31="","",IF(DAY(C31+1)=1,"",C31+1))</f>
        <v>46057</v>
      </c>
      <c r="D42" s="724" t="str">
        <f>TEXT(C42,"ddd")</f>
        <v>水</v>
      </c>
      <c r="E42" s="725"/>
      <c r="F42" s="752" t="s">
        <v>556</v>
      </c>
      <c r="G42" s="753" t="s">
        <v>786</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658</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508</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674</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510</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640</v>
      </c>
      <c r="W51" s="640"/>
      <c r="X51" s="735"/>
      <c r="Y51" s="640"/>
      <c r="Z51" s="640"/>
    </row>
    <row r="52" ht="18.0" hidden="1" customHeight="1" outlineLevel="1">
      <c r="A52" s="640"/>
      <c r="B52" s="717"/>
      <c r="C52" s="676"/>
      <c r="D52" s="676"/>
      <c r="E52" s="676"/>
      <c r="F52" s="736" t="s">
        <v>552</v>
      </c>
      <c r="G52" s="737" t="s">
        <v>787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509</v>
      </c>
      <c r="W52" s="640"/>
      <c r="X52" s="735"/>
      <c r="Y52" s="640"/>
      <c r="Z52" s="640"/>
    </row>
    <row r="53" ht="24.75" hidden="1" customHeight="1" outlineLevel="1">
      <c r="A53" s="640"/>
      <c r="B53" s="739"/>
      <c r="C53" s="740">
        <f>IF(C42="","",IF(DAY(C42+1)=1,"",C42+1))</f>
        <v>46058</v>
      </c>
      <c r="D53" s="741" t="str">
        <f>TEXT(C53,"ddd")</f>
        <v>木</v>
      </c>
      <c r="E53" s="742"/>
      <c r="F53" s="743" t="s">
        <v>550</v>
      </c>
      <c r="G53" s="744" t="s">
        <v>788</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518</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513</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514</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515</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675</v>
      </c>
      <c r="W62" s="640"/>
      <c r="X62" s="735"/>
      <c r="Y62" s="640"/>
      <c r="Z62" s="640"/>
    </row>
    <row r="63" ht="18.0" hidden="1" customHeight="1" outlineLevel="1">
      <c r="A63" s="640"/>
      <c r="B63" s="717"/>
      <c r="C63" s="676"/>
      <c r="D63" s="676"/>
      <c r="E63" s="676"/>
      <c r="F63" s="718" t="s">
        <v>552</v>
      </c>
      <c r="G63" s="719" t="s">
        <v>789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517</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516</v>
      </c>
      <c r="W64" s="640"/>
      <c r="X64" s="735"/>
      <c r="Y64" s="640"/>
      <c r="Z64" s="640"/>
    </row>
    <row r="65" hidden="1" outlineLevel="1">
      <c r="A65" s="640"/>
      <c r="B65" s="722"/>
      <c r="C65" s="723">
        <f>IF(C53="","",IF(DAY(C53+1)=1,"",C53+1))</f>
        <v>46059</v>
      </c>
      <c r="D65" s="724" t="str">
        <f>TEXT(C65,"ddd")</f>
        <v>金</v>
      </c>
      <c r="E65" s="725"/>
      <c r="F65" s="752" t="s">
        <v>550</v>
      </c>
      <c r="G65" s="753" t="s">
        <v>790</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552</v>
      </c>
      <c r="G75" s="737" t="s">
        <v>791</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550</v>
      </c>
      <c r="G76" s="744" t="s">
        <v>792</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793</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716</v>
      </c>
      <c r="G87" s="753" t="s">
        <v>794</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795</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556</v>
      </c>
      <c r="G98" s="744" t="s">
        <v>796</v>
      </c>
      <c r="H98" s="745"/>
      <c r="I98" s="746">
        <v>0.6458333333333334</v>
      </c>
      <c r="J98" s="745">
        <v>25.0</v>
      </c>
      <c r="K98" s="745">
        <v>5.0</v>
      </c>
      <c r="L98" s="747" t="s">
        <v>173</v>
      </c>
      <c r="M98" s="747" t="s">
        <v>797</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798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799</v>
      </c>
      <c r="F109" s="752" t="s">
        <v>556</v>
      </c>
      <c r="G109" s="753" t="s">
        <v>800</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801</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556</v>
      </c>
      <c r="G121" s="744" t="s">
        <v>802</v>
      </c>
      <c r="H121" s="745"/>
      <c r="I121" s="746">
        <v>0.6666666666666666</v>
      </c>
      <c r="J121" s="745">
        <v>24.0</v>
      </c>
      <c r="K121" s="745">
        <v>6.0</v>
      </c>
      <c r="L121" s="747" t="s">
        <v>459</v>
      </c>
      <c r="M121" s="747" t="s">
        <v>803</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674</v>
      </c>
      <c r="M122" s="747" t="s">
        <v>803</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804</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556</v>
      </c>
      <c r="G132" s="753" t="s">
        <v>805</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806</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556</v>
      </c>
      <c r="G143" s="744" t="s">
        <v>807</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808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556</v>
      </c>
      <c r="G154" s="753" t="s">
        <v>809</v>
      </c>
      <c r="H154" s="754">
        <v>1.0</v>
      </c>
      <c r="I154" s="755">
        <v>0.625</v>
      </c>
      <c r="J154" s="754">
        <v>25.0</v>
      </c>
      <c r="K154" s="754">
        <v>7.0</v>
      </c>
      <c r="L154" s="733" t="s">
        <v>640</v>
      </c>
      <c r="M154" s="733" t="s">
        <v>648</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810</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550</v>
      </c>
      <c r="G165" s="744" t="s">
        <v>811</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812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813</v>
      </c>
      <c r="G177" s="753" t="s">
        <v>814</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815</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816</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817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818</v>
      </c>
      <c r="H199" s="754"/>
      <c r="I199" s="755">
        <v>0.6458333333333334</v>
      </c>
      <c r="J199" s="754">
        <v>24.0</v>
      </c>
      <c r="K199" s="754">
        <v>7.0</v>
      </c>
      <c r="L199" s="733" t="s">
        <v>173</v>
      </c>
      <c r="M199" s="747" t="s">
        <v>819</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820</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821</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822</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823</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824</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550</v>
      </c>
      <c r="G233" s="744" t="s">
        <v>825</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826</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550</v>
      </c>
      <c r="G244" s="753" t="s">
        <v>827</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828</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550</v>
      </c>
      <c r="G255" s="744" t="s">
        <v>829</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830</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550</v>
      </c>
      <c r="G266" s="753" t="s">
        <v>831</v>
      </c>
      <c r="H266" s="754"/>
      <c r="I266" s="755">
        <v>0.0</v>
      </c>
      <c r="J266" s="754">
        <v>25.0</v>
      </c>
      <c r="K266" s="754">
        <v>6.0</v>
      </c>
      <c r="L266" s="733" t="s">
        <v>459</v>
      </c>
      <c r="M266" s="733" t="s">
        <v>648</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832</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833</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834</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835</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836</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837</v>
      </c>
      <c r="H300" s="745"/>
      <c r="I300" s="746">
        <v>0.6458333333333334</v>
      </c>
      <c r="J300" s="745">
        <v>22.0</v>
      </c>
      <c r="K300" s="745">
        <v>8.0</v>
      </c>
      <c r="L300" s="747" t="s">
        <v>493</v>
      </c>
      <c r="M300" s="747" t="s">
        <v>648</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211</v>
      </c>
      <c r="M301" s="747" t="s">
        <v>648</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508</v>
      </c>
      <c r="M302" s="747" t="s">
        <v>648</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838</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839</v>
      </c>
      <c r="H311" s="754"/>
      <c r="I311" s="755">
        <v>0.625</v>
      </c>
      <c r="J311" s="754">
        <v>22.0</v>
      </c>
      <c r="K311" s="754">
        <v>5.0</v>
      </c>
      <c r="L311" s="733" t="s">
        <v>674</v>
      </c>
      <c r="M311" s="733" t="s">
        <v>648</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840</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575</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575</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581</v>
      </c>
      <c r="C4" s="783"/>
      <c r="D4" s="784" t="s">
        <v>582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583</v>
      </c>
      <c r="G5" s="789" t="s">
        <v>221</v>
      </c>
      <c r="H5" s="790" t="b">
        <v>1</v>
      </c>
      <c r="J5" s="791"/>
      <c r="K5" s="775"/>
      <c r="L5" s="792" t="s">
        <v>584</v>
      </c>
      <c r="T5" s="791"/>
      <c r="U5" s="793" t="s">
        <v>585</v>
      </c>
      <c r="AC5" s="776"/>
      <c r="AD5" s="794" t="s">
        <v>96</v>
      </c>
      <c r="AE5" s="794" t="s">
        <v>586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587</v>
      </c>
      <c r="M7" s="221"/>
      <c r="N7" s="221"/>
      <c r="O7" s="221"/>
      <c r="P7" s="221"/>
      <c r="Q7" s="221"/>
      <c r="R7" s="221"/>
      <c r="S7" s="106"/>
      <c r="T7" s="798" t="s">
        <v>588</v>
      </c>
      <c r="U7" s="799" t="s">
        <v>589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590</v>
      </c>
      <c r="C8" s="801"/>
      <c r="D8" s="802" t="s">
        <v>51</v>
      </c>
      <c r="E8" s="803" t="str">
        <f>IFERROR(__xludf.DUMMYFUNCTION("IFERROR(INDEX(FILTER($AE$6:$AE$200, $AD$6:$AD$200=$B$5, REGEXMATCH($AE$6:$AE$200, ""集計"")), 1), """")
"),"①R8_2集計")</f>
        <v>①R8_2集計</v>
      </c>
      <c r="F8" s="490"/>
      <c r="G8" s="208"/>
      <c r="H8" s="208"/>
      <c r="I8" s="185"/>
      <c r="J8" s="791"/>
      <c r="K8" s="775"/>
      <c r="L8" s="804" t="s">
        <v>841</v>
      </c>
      <c r="M8" s="232"/>
      <c r="N8" s="232"/>
      <c r="O8" s="232"/>
      <c r="P8" s="232"/>
      <c r="Q8" s="232"/>
      <c r="R8" s="232"/>
      <c r="S8" s="235"/>
      <c r="U8" s="804" t="s">
        <v>842</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591</v>
      </c>
      <c r="C13" s="821"/>
      <c r="D13" s="822" t="s">
        <v>51</v>
      </c>
      <c r="E13" s="823" t="s">
        <v>592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595</v>
      </c>
      <c r="C20" s="807" t="s">
        <v>596</v>
      </c>
      <c r="D20" s="807" t="s">
        <v>89</v>
      </c>
      <c r="E20" s="807" t="s">
        <v>90</v>
      </c>
      <c r="F20" s="807" t="s">
        <v>597</v>
      </c>
      <c r="G20" s="807" t="s">
        <v>451</v>
      </c>
      <c r="H20" s="807" t="s">
        <v>451</v>
      </c>
      <c r="I20" s="807" t="s">
        <v>598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599</v>
      </c>
      <c r="M21" s="217"/>
      <c r="N21" s="217"/>
      <c r="O21" s="217"/>
      <c r="P21" s="217"/>
      <c r="Q21" s="217"/>
      <c r="R21" s="217"/>
      <c r="S21" s="2"/>
      <c r="T21" s="798" t="s">
        <v>588</v>
      </c>
      <c r="U21" s="799" t="s">
        <v>600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843</v>
      </c>
      <c r="M22" s="232"/>
      <c r="N22" s="232"/>
      <c r="O22" s="232"/>
      <c r="P22" s="232"/>
      <c r="Q22" s="232"/>
      <c r="R22" s="232"/>
      <c r="S22" s="235"/>
      <c r="U22" s="804" t="s">
        <v>844</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602</v>
      </c>
      <c r="C25" s="847" t="s">
        <v>603</v>
      </c>
      <c r="D25" s="2"/>
      <c r="E25" s="847" t="s">
        <v>604</v>
      </c>
      <c r="F25" s="217"/>
      <c r="G25" s="217"/>
      <c r="H25" s="847" t="s">
        <v>605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739</v>
      </c>
      <c r="C26" s="849" t="s">
        <v>90</v>
      </c>
      <c r="D26" s="2"/>
      <c r="E26" s="849" t="s">
        <v>743</v>
      </c>
      <c r="F26" s="217"/>
      <c r="G26" s="217"/>
      <c r="H26" s="850" t="s">
        <v>741</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845</v>
      </c>
      <c r="C27" s="849" t="s">
        <v>89</v>
      </c>
      <c r="D27" s="2"/>
      <c r="E27" s="849" t="s">
        <v>740</v>
      </c>
      <c r="F27" s="217"/>
      <c r="G27" s="217"/>
      <c r="H27" s="850" t="s">
        <v>744</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606</v>
      </c>
      <c r="M35" s="217"/>
      <c r="N35" s="217"/>
      <c r="O35" s="217"/>
      <c r="P35" s="217"/>
      <c r="Q35" s="217"/>
      <c r="R35" s="217"/>
      <c r="S35" s="2"/>
      <c r="T35" s="798" t="s">
        <v>588</v>
      </c>
      <c r="U35" s="799" t="s">
        <v>606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846</v>
      </c>
      <c r="M36" s="232"/>
      <c r="N36" s="232"/>
      <c r="O36" s="232"/>
      <c r="P36" s="232"/>
      <c r="Q36" s="232"/>
      <c r="R36" s="232"/>
      <c r="S36" s="235"/>
      <c r="U36" s="804" t="s">
        <v>847</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607</v>
      </c>
      <c r="C37" s="854"/>
      <c r="D37" s="855">
        <f>counta(C39:D48)</f>
        <v>1</v>
      </c>
      <c r="E37" s="856" t="s">
        <v>608</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604</v>
      </c>
      <c r="F38" s="860"/>
      <c r="G38" s="859" t="s">
        <v>609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848</v>
      </c>
      <c r="D39" s="860"/>
      <c r="E39" s="864" t="s">
        <v>849</v>
      </c>
      <c r="F39" s="860"/>
      <c r="G39" s="894" t="s">
        <v>850</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610</v>
      </c>
      <c r="M49" s="217"/>
      <c r="N49" s="217"/>
      <c r="O49" s="217"/>
      <c r="P49" s="217"/>
      <c r="Q49" s="217"/>
      <c r="R49" s="217"/>
      <c r="S49" s="2"/>
      <c r="T49" s="798" t="s">
        <v>588</v>
      </c>
      <c r="U49" s="799" t="s">
        <v>611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612</v>
      </c>
      <c r="C50" s="873"/>
      <c r="D50" s="874">
        <f>COUNTA(C52:D62)</f>
        <v>1</v>
      </c>
      <c r="E50" s="837"/>
      <c r="F50" s="837"/>
      <c r="G50" s="837"/>
      <c r="H50" s="837"/>
      <c r="I50" s="776"/>
      <c r="J50" s="776"/>
      <c r="K50" s="775"/>
      <c r="L50" s="804" t="s">
        <v>851</v>
      </c>
      <c r="M50" s="232"/>
      <c r="N50" s="232"/>
      <c r="O50" s="232"/>
      <c r="P50" s="232"/>
      <c r="Q50" s="232"/>
      <c r="R50" s="232"/>
      <c r="S50" s="235"/>
      <c r="U50" s="804" t="s">
        <v>852</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613</v>
      </c>
      <c r="C51" s="859" t="s">
        <v>448</v>
      </c>
      <c r="D51" s="860"/>
      <c r="E51" s="858" t="s">
        <v>614</v>
      </c>
      <c r="F51" s="858" t="s">
        <v>615</v>
      </c>
      <c r="G51" s="858" t="s">
        <v>616</v>
      </c>
      <c r="H51" s="859" t="s">
        <v>617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853</v>
      </c>
      <c r="D52" s="860"/>
      <c r="E52" s="901">
        <v>46056.0</v>
      </c>
      <c r="F52" s="877" t="s">
        <v>752</v>
      </c>
      <c r="G52" s="877" t="s">
        <v>753</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618</v>
      </c>
      <c r="M63" s="217"/>
      <c r="N63" s="217"/>
      <c r="O63" s="217"/>
      <c r="P63" s="217"/>
      <c r="Q63" s="217"/>
      <c r="R63" s="217"/>
      <c r="S63" s="2"/>
      <c r="T63" s="798" t="s">
        <v>588</v>
      </c>
      <c r="U63" s="799" t="s">
        <v>619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620</v>
      </c>
      <c r="C64" s="880"/>
      <c r="D64" s="874">
        <f>COUNTA(C66:D76)</f>
        <v>4</v>
      </c>
      <c r="E64" s="837"/>
      <c r="F64" s="837"/>
      <c r="G64" s="837"/>
      <c r="H64" s="837"/>
      <c r="I64" s="837"/>
      <c r="J64" s="776"/>
      <c r="K64" s="775"/>
      <c r="L64" s="804" t="s">
        <v>854</v>
      </c>
      <c r="M64" s="232"/>
      <c r="N64" s="232"/>
      <c r="O64" s="232"/>
      <c r="P64" s="232"/>
      <c r="Q64" s="232"/>
      <c r="R64" s="232"/>
      <c r="S64" s="235"/>
      <c r="U64" s="804" t="s">
        <v>855</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613</v>
      </c>
      <c r="C65" s="859" t="s">
        <v>448</v>
      </c>
      <c r="D65" s="860"/>
      <c r="E65" s="858" t="s">
        <v>621</v>
      </c>
      <c r="F65" s="859" t="s">
        <v>622</v>
      </c>
      <c r="G65" s="860"/>
      <c r="H65" s="859" t="s">
        <v>617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654</v>
      </c>
      <c r="D66" s="860"/>
      <c r="E66" s="893">
        <v>46081.0</v>
      </c>
      <c r="F66" s="894" t="s">
        <v>856</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857</v>
      </c>
      <c r="D67" s="860"/>
      <c r="E67" s="893">
        <v>46081.0</v>
      </c>
      <c r="F67" s="894" t="s">
        <v>757</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853</v>
      </c>
      <c r="D68" s="860"/>
      <c r="E68" s="893">
        <v>46077.0</v>
      </c>
      <c r="F68" s="894" t="s">
        <v>757</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669</v>
      </c>
      <c r="D69" s="860"/>
      <c r="E69" s="893">
        <v>46081.0</v>
      </c>
      <c r="F69" s="894" t="s">
        <v>856</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623</v>
      </c>
      <c r="M77" s="217"/>
      <c r="N77" s="217"/>
      <c r="O77" s="217"/>
      <c r="P77" s="217"/>
      <c r="Q77" s="217"/>
      <c r="R77" s="217"/>
      <c r="S77" s="2"/>
      <c r="T77" s="791"/>
      <c r="U77" s="883" t="s">
        <v>624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858</v>
      </c>
      <c r="M78" s="232"/>
      <c r="N78" s="232"/>
      <c r="O78" s="232"/>
      <c r="P78" s="232"/>
      <c r="Q78" s="232"/>
      <c r="R78" s="232"/>
      <c r="S78" s="235"/>
      <c r="U78" s="804" t="s">
        <v>759</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859</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860</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861</v>
      </c>
      <c r="K4" s="185"/>
      <c r="L4" s="185"/>
      <c r="M4" s="185"/>
      <c r="N4" s="185"/>
      <c r="O4" s="185"/>
      <c r="P4" s="185"/>
      <c r="Q4" s="185"/>
      <c r="R4" s="185"/>
      <c r="S4" s="185"/>
      <c r="T4" s="185"/>
      <c r="U4" s="185"/>
      <c r="V4" s="185"/>
      <c r="W4" s="185"/>
      <c r="X4" s="185"/>
      <c r="Y4" s="185"/>
      <c r="Z4" s="185"/>
      <c r="AA4" s="185"/>
      <c r="AB4" s="185"/>
      <c r="AC4" s="185"/>
    </row>
    <row r="5">
      <c r="A5" s="185"/>
      <c r="B5" s="905" t="s">
        <v>862</v>
      </c>
      <c r="C5" s="905" t="s">
        <v>863</v>
      </c>
      <c r="D5" s="905" t="s">
        <v>96</v>
      </c>
      <c r="E5" s="905" t="s">
        <v>586</v>
      </c>
      <c r="F5" s="905" t="s">
        <v>864</v>
      </c>
      <c r="G5" s="906" t="s">
        <v>865</v>
      </c>
      <c r="H5" s="905" t="s">
        <v>866</v>
      </c>
      <c r="I5" s="905" t="s">
        <v>867</v>
      </c>
      <c r="J5" s="905" t="s">
        <v>868</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869</v>
      </c>
      <c r="F6" s="909"/>
      <c r="G6" s="910" t="s">
        <v>870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871</v>
      </c>
      <c r="F7" s="911"/>
      <c r="G7" s="910" t="s">
        <v>872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873</v>
      </c>
      <c r="F8" s="912"/>
      <c r="G8" s="910" t="s">
        <v>874</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875</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876</v>
      </c>
      <c r="F17" s="915"/>
      <c r="G17" s="910" t="s">
        <v>875</v>
      </c>
      <c r="H17" s="165" t="s">
        <v>877</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878</v>
      </c>
      <c r="F18" s="915"/>
      <c r="G18" s="910" t="s">
        <v>875</v>
      </c>
      <c r="H18" s="165" t="s">
        <v>879</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880</v>
      </c>
      <c r="F19" s="915"/>
      <c r="G19" s="910" t="s">
        <v>875</v>
      </c>
      <c r="H19" s="165" t="s">
        <v>881</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882</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877</v>
      </c>
      <c r="F24" s="916"/>
      <c r="G24" s="910" t="s">
        <v>882</v>
      </c>
      <c r="H24" s="165" t="s">
        <v>883</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884</v>
      </c>
      <c r="F25" s="916"/>
      <c r="G25" s="910" t="s">
        <v>882</v>
      </c>
      <c r="H25" s="165" t="s">
        <v>879</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885</v>
      </c>
      <c r="F26" s="916"/>
      <c r="G26" s="910" t="s">
        <v>882</v>
      </c>
      <c r="H26" s="165" t="s">
        <v>881</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875</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883</v>
      </c>
      <c r="F31" s="915"/>
      <c r="G31" s="910" t="s">
        <v>875</v>
      </c>
      <c r="H31" s="165" t="s">
        <v>886</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887</v>
      </c>
      <c r="F32" s="915"/>
      <c r="G32" s="910" t="s">
        <v>875</v>
      </c>
      <c r="H32" s="165" t="s">
        <v>879</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888</v>
      </c>
      <c r="F33" s="915"/>
      <c r="G33" s="910" t="s">
        <v>875</v>
      </c>
      <c r="H33" s="165" t="s">
        <v>881</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882</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886</v>
      </c>
      <c r="F38" s="916"/>
      <c r="G38" s="910" t="s">
        <v>882</v>
      </c>
      <c r="H38" s="165" t="s">
        <v>889</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890</v>
      </c>
      <c r="F39" s="916"/>
      <c r="G39" s="910" t="s">
        <v>882</v>
      </c>
      <c r="H39" s="165" t="s">
        <v>879</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891</v>
      </c>
      <c r="F40" s="916"/>
      <c r="G40" s="910" t="s">
        <v>882</v>
      </c>
      <c r="H40" s="165" t="s">
        <v>881</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875</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889</v>
      </c>
      <c r="F45" s="915"/>
      <c r="G45" s="910" t="s">
        <v>875</v>
      </c>
      <c r="H45" s="165" t="s">
        <v>892</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893</v>
      </c>
      <c r="F46" s="915"/>
      <c r="G46" s="910" t="s">
        <v>875</v>
      </c>
      <c r="H46" s="165" t="s">
        <v>879</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894</v>
      </c>
      <c r="F47" s="915"/>
      <c r="G47" s="910" t="s">
        <v>875</v>
      </c>
      <c r="H47" s="165" t="s">
        <v>881</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882</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892</v>
      </c>
      <c r="F52" s="916"/>
      <c r="G52" s="910" t="s">
        <v>882</v>
      </c>
      <c r="H52" s="165" t="s">
        <v>895</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896</v>
      </c>
      <c r="F53" s="916"/>
      <c r="G53" s="910" t="s">
        <v>882</v>
      </c>
      <c r="H53" s="165" t="s">
        <v>879</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897</v>
      </c>
      <c r="F54" s="916"/>
      <c r="G54" s="910" t="s">
        <v>882</v>
      </c>
      <c r="H54" s="165" t="s">
        <v>881</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875</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895</v>
      </c>
      <c r="F59" s="915"/>
      <c r="G59" s="910" t="s">
        <v>875</v>
      </c>
      <c r="H59" s="165" t="s">
        <v>898</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899</v>
      </c>
      <c r="F60" s="915"/>
      <c r="G60" s="910" t="s">
        <v>875</v>
      </c>
      <c r="H60" s="165" t="s">
        <v>879</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900</v>
      </c>
      <c r="F61" s="915"/>
      <c r="G61" s="910" t="s">
        <v>875</v>
      </c>
      <c r="H61" s="165" t="s">
        <v>881</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882</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898</v>
      </c>
      <c r="F66" s="916"/>
      <c r="G66" s="910" t="s">
        <v>882</v>
      </c>
      <c r="H66" s="165" t="s">
        <v>901</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902</v>
      </c>
      <c r="F67" s="916"/>
      <c r="G67" s="910" t="s">
        <v>882</v>
      </c>
      <c r="H67" s="165" t="s">
        <v>879</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903</v>
      </c>
      <c r="F68" s="916"/>
      <c r="G68" s="910" t="s">
        <v>882</v>
      </c>
      <c r="H68" s="165" t="s">
        <v>881</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875</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901</v>
      </c>
      <c r="F73" s="915"/>
      <c r="G73" s="910" t="s">
        <v>875</v>
      </c>
      <c r="H73" s="165" t="s">
        <v>904</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905</v>
      </c>
      <c r="F74" s="915"/>
      <c r="G74" s="910" t="s">
        <v>875</v>
      </c>
      <c r="H74" s="165" t="s">
        <v>879</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906</v>
      </c>
      <c r="F75" s="915"/>
      <c r="G75" s="910" t="s">
        <v>875</v>
      </c>
      <c r="H75" s="165" t="s">
        <v>881</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882</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904</v>
      </c>
      <c r="F80" s="916"/>
      <c r="G80" s="910" t="s">
        <v>882</v>
      </c>
      <c r="H80" s="165" t="s">
        <v>907</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908</v>
      </c>
      <c r="F81" s="916"/>
      <c r="G81" s="910" t="s">
        <v>882</v>
      </c>
      <c r="H81" s="165" t="s">
        <v>879</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909</v>
      </c>
      <c r="F82" s="916"/>
      <c r="G82" s="910" t="s">
        <v>882</v>
      </c>
      <c r="H82" s="165" t="s">
        <v>881</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875</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907</v>
      </c>
      <c r="F87" s="915"/>
      <c r="G87" s="910" t="s">
        <v>875</v>
      </c>
      <c r="H87" s="165" t="s">
        <v>910</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911</v>
      </c>
      <c r="F88" s="915"/>
      <c r="G88" s="910" t="s">
        <v>875</v>
      </c>
      <c r="H88" s="165" t="s">
        <v>879</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912</v>
      </c>
      <c r="F89" s="915"/>
      <c r="G89" s="910" t="s">
        <v>875</v>
      </c>
      <c r="H89" s="165" t="s">
        <v>881</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882</v>
      </c>
      <c r="H93" s="165" t="s">
        <v>913</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910</v>
      </c>
      <c r="F94" s="916"/>
      <c r="G94" s="910" t="s">
        <v>882</v>
      </c>
      <c r="H94" s="165" t="s">
        <v>914</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915</v>
      </c>
      <c r="F95" s="916"/>
      <c r="G95" s="910" t="s">
        <v>882</v>
      </c>
      <c r="H95" s="165" t="s">
        <v>879</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916</v>
      </c>
      <c r="F96" s="916"/>
      <c r="G96" s="910" t="s">
        <v>882</v>
      </c>
      <c r="H96" s="165" t="s">
        <v>881</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917</v>
      </c>
      <c r="F102" s="918"/>
      <c r="G102" s="910" t="s">
        <v>918</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919</v>
      </c>
      <c r="F103" s="919"/>
      <c r="G103" s="910" t="s">
        <v>920</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921</v>
      </c>
      <c r="F104" s="920"/>
      <c r="G104" s="910" t="s">
        <v>922</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923</v>
      </c>
      <c r="F105" s="921"/>
      <c r="G105" s="910" t="s">
        <v>924</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913</v>
      </c>
      <c r="F106" s="922"/>
      <c r="G106" s="910" t="s">
        <v>925</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914</v>
      </c>
      <c r="F107" s="922"/>
      <c r="G107" s="910" t="s">
        <v>925</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879</v>
      </c>
      <c r="F108" s="922"/>
      <c r="G108" s="910" t="s">
        <v>925</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881</v>
      </c>
      <c r="F109" s="922"/>
      <c r="G109" s="910" t="s">
        <v>925</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926</v>
      </c>
      <c r="B1" s="5"/>
      <c r="C1" s="5"/>
      <c r="D1" s="5"/>
      <c r="E1" s="5"/>
      <c r="F1" s="5"/>
      <c r="G1" s="5"/>
      <c r="H1" s="926"/>
      <c r="I1" s="927" t="s">
        <v>927</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927</v>
      </c>
      <c r="B2" s="932" t="s">
        <v>51</v>
      </c>
      <c r="C2" s="932" t="s">
        <v>293</v>
      </c>
      <c r="D2" s="931" t="s">
        <v>294</v>
      </c>
      <c r="E2" s="931" t="s">
        <v>299</v>
      </c>
      <c r="F2" s="931" t="s">
        <v>291</v>
      </c>
      <c r="G2" s="931" t="s">
        <v>928</v>
      </c>
      <c r="H2" s="933"/>
      <c r="I2" s="934" t="s">
        <v>929</v>
      </c>
      <c r="J2" s="935">
        <f>DAY(EOMONTH(J1,0))</f>
        <v>28</v>
      </c>
      <c r="K2" s="936" t="s">
        <v>930</v>
      </c>
      <c r="L2" s="936" t="s">
        <v>293</v>
      </c>
      <c r="M2" s="936" t="s">
        <v>931</v>
      </c>
      <c r="N2" s="936" t="s">
        <v>932</v>
      </c>
      <c r="O2" s="936" t="s">
        <v>933</v>
      </c>
      <c r="P2" s="936" t="s">
        <v>934</v>
      </c>
      <c r="Q2" s="934" t="s">
        <v>935</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293</v>
      </c>
      <c r="J3" s="942">
        <f t="array" ref="J3">xlookup(K1,$B$3:$B$14,$C$3:$C$14)*100</f>
        <v>70</v>
      </c>
      <c r="K3" s="943">
        <f>SUM(M3:O3)</f>
        <v>312</v>
      </c>
      <c r="L3" s="943">
        <v>100.0</v>
      </c>
      <c r="M3" s="937">
        <v>312.0</v>
      </c>
      <c r="N3" s="944"/>
      <c r="O3" s="944"/>
      <c r="P3" s="943">
        <f>K3*J2</f>
        <v>8736</v>
      </c>
      <c r="Q3" s="945" t="s">
        <v>936</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937</v>
      </c>
      <c r="J4" s="937">
        <v>320000.0</v>
      </c>
      <c r="K4" s="943">
        <f>K3*L4%</f>
        <v>218.4</v>
      </c>
      <c r="L4" s="947">
        <f>J3</f>
        <v>70</v>
      </c>
      <c r="M4" s="943">
        <f>M3*L4%</f>
        <v>218.4</v>
      </c>
      <c r="N4" s="943">
        <f>N3*L4%</f>
        <v>0</v>
      </c>
      <c r="O4" s="943">
        <f>O3*L4%</f>
        <v>0</v>
      </c>
      <c r="P4" s="943">
        <f>K4*J2</f>
        <v>6115.2</v>
      </c>
      <c r="Q4" s="934" t="s">
        <v>294</v>
      </c>
      <c r="R4" s="943">
        <f>R2*P4+R3</f>
        <v>12773212</v>
      </c>
    </row>
    <row r="5">
      <c r="A5" s="946">
        <f t="shared" si="5"/>
        <v>46113</v>
      </c>
      <c r="B5" s="932" t="str">
        <f t="shared" si="2"/>
        <v>①R8_4集計</v>
      </c>
      <c r="C5" s="939">
        <f t="shared" si="3"/>
        <v>0.775</v>
      </c>
      <c r="D5" s="940">
        <f t="shared" ref="D5:G5" si="6">xlookup($B5,$K:$K,N:N)</f>
        <v>14865844.75</v>
      </c>
      <c r="E5" s="940">
        <f t="shared" si="6"/>
        <v>4087404.75</v>
      </c>
      <c r="F5" s="941">
        <f t="shared" si="6"/>
        <v>0.2749527402</v>
      </c>
      <c r="G5" s="941">
        <f t="shared" si="6"/>
        <v>0.6117001861</v>
      </c>
      <c r="H5" s="933"/>
      <c r="I5" s="934" t="s">
        <v>938</v>
      </c>
      <c r="J5" s="948">
        <v>633000.0</v>
      </c>
      <c r="K5" s="949" t="s">
        <v>939</v>
      </c>
      <c r="L5" s="2"/>
      <c r="M5" s="937">
        <v>45.0</v>
      </c>
      <c r="N5" s="937">
        <v>23.0</v>
      </c>
      <c r="O5" s="937">
        <v>23.0</v>
      </c>
      <c r="P5" s="950"/>
      <c r="Q5" s="934" t="s">
        <v>940</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941</v>
      </c>
      <c r="J6" s="953">
        <v>1300.0</v>
      </c>
      <c r="K6" s="954" t="s">
        <v>942</v>
      </c>
      <c r="L6" s="2"/>
      <c r="M6" s="943">
        <f t="shared" ref="M6:O6" si="8">M4/(360/M5)</f>
        <v>27.3</v>
      </c>
      <c r="N6" s="943">
        <f t="shared" si="8"/>
        <v>0</v>
      </c>
      <c r="O6" s="943">
        <f t="shared" si="8"/>
        <v>0</v>
      </c>
      <c r="P6" s="943">
        <f t="shared" ref="P6:P7" si="10">M6+N6+O6</f>
        <v>27.3</v>
      </c>
      <c r="Q6" s="934" t="s">
        <v>292</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943</v>
      </c>
      <c r="J7" s="953">
        <v>6.0</v>
      </c>
      <c r="K7" s="958" t="s">
        <v>944</v>
      </c>
      <c r="L7" s="937">
        <v>1140.0</v>
      </c>
      <c r="M7" s="943">
        <f>M6*(L7*6)</f>
        <v>186732</v>
      </c>
      <c r="N7" s="943">
        <f>N6*(L7*6)</f>
        <v>0</v>
      </c>
      <c r="O7" s="943">
        <f>O6*(L7*6)</f>
        <v>0</v>
      </c>
      <c r="P7" s="943">
        <f t="shared" si="10"/>
        <v>186732</v>
      </c>
      <c r="Q7" s="934" t="s">
        <v>945</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946</v>
      </c>
      <c r="J8" s="944"/>
      <c r="K8" s="960"/>
      <c r="L8" s="950"/>
      <c r="M8" s="950"/>
      <c r="N8" s="950"/>
      <c r="O8" s="950"/>
      <c r="P8" s="950"/>
      <c r="Q8" s="934" t="s">
        <v>291</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947</v>
      </c>
      <c r="J9" s="953">
        <v>1200.0</v>
      </c>
      <c r="K9" s="954" t="s">
        <v>948</v>
      </c>
      <c r="L9" s="2"/>
      <c r="M9" s="943">
        <f>P7+(P6*J15)</f>
        <v>214032</v>
      </c>
      <c r="N9" s="950"/>
      <c r="O9" s="961" t="s">
        <v>949</v>
      </c>
      <c r="P9" s="945" t="s">
        <v>950</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951</v>
      </c>
      <c r="J10" s="953">
        <v>6.0</v>
      </c>
      <c r="K10" s="954" t="s">
        <v>952</v>
      </c>
      <c r="L10" s="2"/>
      <c r="M10" s="943">
        <f>M9*J2+(K3*J18*J2*150)</f>
        <v>6110832</v>
      </c>
      <c r="N10" s="964"/>
      <c r="O10" s="965" t="s">
        <v>384</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953</v>
      </c>
      <c r="J11" s="953">
        <f>J2</f>
        <v>28</v>
      </c>
      <c r="K11" s="954" t="s">
        <v>954</v>
      </c>
      <c r="L11" s="2"/>
      <c r="M11" s="934" t="s">
        <v>392</v>
      </c>
      <c r="N11" s="959" t="s">
        <v>366</v>
      </c>
      <c r="O11" s="965" t="s">
        <v>380</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955</v>
      </c>
      <c r="J12" s="953">
        <v>1300.0</v>
      </c>
      <c r="K12" s="954" t="s">
        <v>956</v>
      </c>
      <c r="L12" s="2"/>
      <c r="M12" s="947">
        <f t="shared" ref="M12:M13" si="17">J4*1.15</f>
        <v>368000</v>
      </c>
      <c r="N12" s="968">
        <v>15000.0</v>
      </c>
      <c r="O12" s="965" t="s">
        <v>957</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958</v>
      </c>
      <c r="J13" s="953">
        <v>6.0</v>
      </c>
      <c r="K13" s="954" t="s">
        <v>959</v>
      </c>
      <c r="L13" s="2"/>
      <c r="M13" s="947">
        <f t="shared" si="17"/>
        <v>727950</v>
      </c>
      <c r="N13" s="947">
        <v>45000.0</v>
      </c>
      <c r="O13" s="969" t="s">
        <v>960</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961</v>
      </c>
      <c r="J14" s="953">
        <v>21.7</v>
      </c>
      <c r="K14" s="970" t="s">
        <v>962</v>
      </c>
      <c r="L14" s="2"/>
      <c r="M14" s="947">
        <f>(9*J2-21.7*4)*J6*J7</f>
        <v>1288560</v>
      </c>
      <c r="N14" s="947">
        <f>(9*J2-21.7*4)*J15</f>
        <v>165200</v>
      </c>
      <c r="O14" s="965" t="s">
        <v>963</v>
      </c>
      <c r="P14" s="937">
        <f t="shared" ref="P14:P15" si="19">K3*J18*J2*300</f>
        <v>235872</v>
      </c>
      <c r="Q14" s="950"/>
      <c r="R14" s="971"/>
    </row>
    <row r="15">
      <c r="A15" s="951"/>
      <c r="B15" s="951"/>
      <c r="C15" s="951"/>
      <c r="D15" s="951"/>
      <c r="E15" s="951"/>
      <c r="F15" s="951"/>
      <c r="G15" s="951"/>
      <c r="H15" s="951"/>
      <c r="I15" s="972" t="s">
        <v>964</v>
      </c>
      <c r="J15" s="973">
        <v>1000.0</v>
      </c>
      <c r="K15" s="949" t="s">
        <v>965</v>
      </c>
      <c r="L15" s="2"/>
      <c r="M15" s="947">
        <f>J9*J10*J11</f>
        <v>201600</v>
      </c>
      <c r="N15" s="947">
        <f>J11*J15</f>
        <v>28000</v>
      </c>
      <c r="O15" s="965" t="s">
        <v>966</v>
      </c>
      <c r="P15" s="937">
        <f t="shared" si="19"/>
        <v>160524</v>
      </c>
      <c r="Q15" s="950"/>
      <c r="R15" s="950"/>
    </row>
    <row r="16">
      <c r="A16" s="951"/>
      <c r="B16" s="951"/>
      <c r="C16" s="951"/>
      <c r="D16" s="951"/>
      <c r="E16" s="951"/>
      <c r="F16" s="951"/>
      <c r="G16" s="951"/>
      <c r="H16" s="951"/>
      <c r="I16" s="972" t="s">
        <v>967</v>
      </c>
      <c r="J16" s="950"/>
      <c r="K16" s="974" t="s">
        <v>968</v>
      </c>
      <c r="L16" s="2"/>
      <c r="M16" s="947">
        <f>J12*J13*J14</f>
        <v>169260</v>
      </c>
      <c r="N16" s="947">
        <f>J14*J15</f>
        <v>21700</v>
      </c>
      <c r="O16" s="934" t="s">
        <v>969</v>
      </c>
      <c r="P16" s="943">
        <v>465000.0</v>
      </c>
      <c r="Q16" s="950"/>
      <c r="R16" s="971"/>
    </row>
    <row r="17">
      <c r="A17" s="933"/>
      <c r="B17" s="933"/>
      <c r="C17" s="933"/>
      <c r="D17" s="933"/>
      <c r="E17" s="933"/>
      <c r="F17" s="933"/>
      <c r="G17" s="933"/>
      <c r="H17" s="933"/>
      <c r="I17" s="934" t="s">
        <v>960</v>
      </c>
      <c r="J17" s="975">
        <v>0.1</v>
      </c>
      <c r="K17" s="954" t="s">
        <v>970</v>
      </c>
      <c r="L17" s="2"/>
      <c r="M17" s="947">
        <f>SUM(M12:N13)+J16</f>
        <v>1155950</v>
      </c>
      <c r="N17" s="967"/>
      <c r="O17" s="934" t="s">
        <v>362</v>
      </c>
      <c r="P17" s="943">
        <f>SUM(P10:P16)</f>
        <v>1888156</v>
      </c>
      <c r="Q17" s="950"/>
      <c r="R17" s="950"/>
    </row>
    <row r="18">
      <c r="A18" s="933"/>
      <c r="B18" s="933"/>
      <c r="C18" s="933"/>
      <c r="D18" s="933"/>
      <c r="E18" s="933"/>
      <c r="F18" s="933"/>
      <c r="G18" s="933"/>
      <c r="H18" s="933"/>
      <c r="I18" s="934" t="s">
        <v>963</v>
      </c>
      <c r="J18" s="955">
        <v>0.09</v>
      </c>
      <c r="K18" s="926"/>
      <c r="L18" s="926"/>
      <c r="M18" s="926"/>
      <c r="N18" s="926"/>
      <c r="O18" s="926"/>
      <c r="P18" s="926"/>
      <c r="Q18" s="926"/>
      <c r="R18" s="926"/>
    </row>
    <row r="19">
      <c r="A19" s="951"/>
      <c r="B19" s="951"/>
      <c r="C19" s="951"/>
      <c r="D19" s="951"/>
      <c r="E19" s="951"/>
      <c r="F19" s="951"/>
      <c r="G19" s="951"/>
      <c r="H19" s="951"/>
      <c r="I19" s="972" t="s">
        <v>966</v>
      </c>
      <c r="J19" s="976">
        <v>0.035</v>
      </c>
      <c r="K19" s="926"/>
      <c r="L19" s="926"/>
      <c r="M19" s="926"/>
      <c r="N19" s="926"/>
      <c r="O19" s="926"/>
      <c r="P19" s="926"/>
      <c r="Q19" s="926"/>
      <c r="R19" s="926"/>
    </row>
    <row r="21">
      <c r="I21" s="927" t="s">
        <v>927</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929</v>
      </c>
      <c r="J22" s="935">
        <f>DAY(EOMONTH(J21,0))</f>
        <v>31</v>
      </c>
      <c r="K22" s="936" t="s">
        <v>930</v>
      </c>
      <c r="L22" s="936" t="s">
        <v>293</v>
      </c>
      <c r="M22" s="936" t="s">
        <v>931</v>
      </c>
      <c r="N22" s="936" t="s">
        <v>932</v>
      </c>
      <c r="O22" s="936" t="s">
        <v>933</v>
      </c>
      <c r="P22" s="936" t="s">
        <v>934</v>
      </c>
      <c r="Q22" s="934" t="s">
        <v>935</v>
      </c>
      <c r="R22" s="937">
        <v>1780.0</v>
      </c>
    </row>
    <row r="23">
      <c r="I23" s="934" t="s">
        <v>293</v>
      </c>
      <c r="J23" s="942">
        <f t="array" ref="J23">xlookup(K21,$B$3:$B$14,$C$3:$C$14)*100</f>
        <v>72.5</v>
      </c>
      <c r="K23" s="943">
        <f>SUM(M23:O23)</f>
        <v>312</v>
      </c>
      <c r="L23" s="943">
        <v>100.0</v>
      </c>
      <c r="M23" s="937">
        <v>312.0</v>
      </c>
      <c r="N23" s="944"/>
      <c r="O23" s="944"/>
      <c r="P23" s="943">
        <f>K23*J22</f>
        <v>9672</v>
      </c>
      <c r="Q23" s="945" t="s">
        <v>936</v>
      </c>
      <c r="R23" s="943">
        <f>P37</f>
        <v>1943818.75</v>
      </c>
    </row>
    <row r="24">
      <c r="I24" s="934" t="s">
        <v>937</v>
      </c>
      <c r="J24" s="937">
        <v>320000.0</v>
      </c>
      <c r="K24" s="943">
        <f>K23*L24%</f>
        <v>226.2</v>
      </c>
      <c r="L24" s="947">
        <f>J23</f>
        <v>72.5</v>
      </c>
      <c r="M24" s="943">
        <f>M23*L24%</f>
        <v>226.2</v>
      </c>
      <c r="N24" s="943">
        <f>N23*L24%</f>
        <v>0</v>
      </c>
      <c r="O24" s="943">
        <f>O23*L24%</f>
        <v>0</v>
      </c>
      <c r="P24" s="943">
        <f>K24*J22</f>
        <v>7012.2</v>
      </c>
      <c r="Q24" s="934" t="s">
        <v>294</v>
      </c>
      <c r="R24" s="943">
        <f>R22*P24+R23</f>
        <v>14425534.75</v>
      </c>
    </row>
    <row r="25">
      <c r="I25" s="934" t="s">
        <v>938</v>
      </c>
      <c r="J25" s="977">
        <f>270000*3</f>
        <v>810000</v>
      </c>
      <c r="K25" s="949" t="s">
        <v>939</v>
      </c>
      <c r="L25" s="2"/>
      <c r="M25" s="937">
        <v>45.0</v>
      </c>
      <c r="N25" s="937">
        <v>23.0</v>
      </c>
      <c r="O25" s="937">
        <v>23.0</v>
      </c>
      <c r="P25" s="950"/>
      <c r="Q25" s="934" t="s">
        <v>940</v>
      </c>
      <c r="R25" s="943">
        <f>M30+SUM(M34:N36)</f>
        <v>9139048</v>
      </c>
    </row>
    <row r="26">
      <c r="I26" s="952" t="s">
        <v>941</v>
      </c>
      <c r="J26" s="953">
        <v>1300.0</v>
      </c>
      <c r="K26" s="954" t="s">
        <v>942</v>
      </c>
      <c r="L26" s="2"/>
      <c r="M26" s="943">
        <f t="shared" ref="M26:O26" si="20">M24/(360/M25)</f>
        <v>28.275</v>
      </c>
      <c r="N26" s="943">
        <f t="shared" si="20"/>
        <v>0</v>
      </c>
      <c r="O26" s="943">
        <f t="shared" si="20"/>
        <v>0</v>
      </c>
      <c r="P26" s="943">
        <f t="shared" ref="P26:P27" si="21">M26+N26+O26</f>
        <v>28.275</v>
      </c>
      <c r="Q26" s="934" t="s">
        <v>292</v>
      </c>
      <c r="R26" s="955">
        <f>R25/R24</f>
        <v>0.6335327014</v>
      </c>
    </row>
    <row r="27">
      <c r="I27" s="957" t="s">
        <v>943</v>
      </c>
      <c r="J27" s="953">
        <v>6.0</v>
      </c>
      <c r="K27" s="958" t="s">
        <v>944</v>
      </c>
      <c r="L27" s="937">
        <v>1140.0</v>
      </c>
      <c r="M27" s="943">
        <f>M26*(L27*6)</f>
        <v>193401</v>
      </c>
      <c r="N27" s="943">
        <f>N26*(L27*6)</f>
        <v>0</v>
      </c>
      <c r="O27" s="943">
        <f>O26*(L27*6)</f>
        <v>0</v>
      </c>
      <c r="P27" s="943">
        <f t="shared" si="21"/>
        <v>193401</v>
      </c>
      <c r="Q27" s="934" t="s">
        <v>945</v>
      </c>
      <c r="R27" s="943">
        <f>R24-R25-M37</f>
        <v>3926986.75</v>
      </c>
    </row>
    <row r="28">
      <c r="I28" s="959" t="s">
        <v>946</v>
      </c>
      <c r="J28" s="944"/>
      <c r="K28" s="960"/>
      <c r="L28" s="950"/>
      <c r="M28" s="950"/>
      <c r="N28" s="950"/>
      <c r="O28" s="950"/>
      <c r="P28" s="950"/>
      <c r="Q28" s="934" t="s">
        <v>291</v>
      </c>
      <c r="R28" s="955">
        <f>R27/R24</f>
        <v>0.2722246917</v>
      </c>
    </row>
    <row r="29">
      <c r="I29" s="952" t="s">
        <v>947</v>
      </c>
      <c r="J29" s="953">
        <v>1200.0</v>
      </c>
      <c r="K29" s="954" t="s">
        <v>948</v>
      </c>
      <c r="L29" s="2"/>
      <c r="M29" s="943">
        <f>P27+(P26*J35)</f>
        <v>221676</v>
      </c>
      <c r="N29" s="950"/>
      <c r="O29" s="961" t="s">
        <v>949</v>
      </c>
      <c r="P29" s="945" t="s">
        <v>950</v>
      </c>
      <c r="Q29" s="950"/>
      <c r="R29" s="950"/>
    </row>
    <row r="30">
      <c r="I30" s="963" t="s">
        <v>951</v>
      </c>
      <c r="J30" s="953">
        <v>6.0</v>
      </c>
      <c r="K30" s="954" t="s">
        <v>952</v>
      </c>
      <c r="L30" s="2"/>
      <c r="M30" s="943">
        <f>M29*J22+(K23*J38*J22*150)</f>
        <v>7002528</v>
      </c>
      <c r="N30" s="964"/>
      <c r="O30" s="965" t="s">
        <v>384</v>
      </c>
      <c r="P30" s="966">
        <v>413440.0</v>
      </c>
      <c r="Q30" s="950"/>
      <c r="R30" s="967"/>
    </row>
    <row r="31">
      <c r="I31" s="963" t="s">
        <v>953</v>
      </c>
      <c r="J31" s="953">
        <f>J22</f>
        <v>31</v>
      </c>
      <c r="K31" s="954" t="s">
        <v>954</v>
      </c>
      <c r="L31" s="2"/>
      <c r="M31" s="934" t="s">
        <v>392</v>
      </c>
      <c r="N31" s="959" t="s">
        <v>366</v>
      </c>
      <c r="O31" s="965" t="s">
        <v>380</v>
      </c>
      <c r="P31" s="966">
        <v>93600.0</v>
      </c>
      <c r="Q31" s="950"/>
      <c r="R31" s="950"/>
    </row>
    <row r="32">
      <c r="I32" s="952" t="s">
        <v>955</v>
      </c>
      <c r="J32" s="953">
        <v>1300.0</v>
      </c>
      <c r="K32" s="954" t="s">
        <v>956</v>
      </c>
      <c r="L32" s="2"/>
      <c r="M32" s="947">
        <f t="shared" ref="M32:M33" si="22">J24*1.15</f>
        <v>368000</v>
      </c>
      <c r="N32" s="968">
        <v>15000.0</v>
      </c>
      <c r="O32" s="965" t="s">
        <v>957</v>
      </c>
      <c r="P32" s="966">
        <v>345000.0</v>
      </c>
      <c r="Q32" s="950"/>
      <c r="R32" s="950"/>
    </row>
    <row r="33">
      <c r="I33" s="952" t="s">
        <v>958</v>
      </c>
      <c r="J33" s="953">
        <v>6.0</v>
      </c>
      <c r="K33" s="954" t="s">
        <v>959</v>
      </c>
      <c r="L33" s="2"/>
      <c r="M33" s="947">
        <f t="shared" si="22"/>
        <v>931500</v>
      </c>
      <c r="N33" s="947">
        <v>45000.0</v>
      </c>
      <c r="O33" s="969" t="s">
        <v>960</v>
      </c>
      <c r="P33" s="937">
        <f>K23*J37*J22*200</f>
        <v>193440</v>
      </c>
      <c r="Q33" s="950"/>
      <c r="R33" s="950"/>
    </row>
    <row r="34">
      <c r="I34" s="952" t="s">
        <v>961</v>
      </c>
      <c r="J34" s="953">
        <v>21.7</v>
      </c>
      <c r="K34" s="970" t="s">
        <v>962</v>
      </c>
      <c r="L34" s="2"/>
      <c r="M34" s="947">
        <f>(9*J22-21.7*4)*J26*J27</f>
        <v>1499160</v>
      </c>
      <c r="N34" s="947">
        <f>(9*J22-21.7*4)*J35</f>
        <v>192200</v>
      </c>
      <c r="O34" s="965" t="s">
        <v>963</v>
      </c>
      <c r="P34" s="937">
        <f t="shared" ref="P34:P35" si="23">K23*J38*J22*300</f>
        <v>261144</v>
      </c>
      <c r="Q34" s="950"/>
      <c r="R34" s="971"/>
    </row>
    <row r="35">
      <c r="I35" s="972" t="s">
        <v>964</v>
      </c>
      <c r="J35" s="973">
        <v>1000.0</v>
      </c>
      <c r="K35" s="949" t="s">
        <v>965</v>
      </c>
      <c r="L35" s="2"/>
      <c r="M35" s="947">
        <f>J29*J30*J31</f>
        <v>223200</v>
      </c>
      <c r="N35" s="947">
        <f>J31*J35</f>
        <v>31000</v>
      </c>
      <c r="O35" s="965" t="s">
        <v>966</v>
      </c>
      <c r="P35" s="937">
        <f t="shared" si="23"/>
        <v>172194.75</v>
      </c>
      <c r="Q35" s="950"/>
      <c r="R35" s="950"/>
    </row>
    <row r="36">
      <c r="I36" s="972" t="s">
        <v>967</v>
      </c>
      <c r="J36" s="950"/>
      <c r="K36" s="949" t="s">
        <v>971</v>
      </c>
      <c r="L36" s="2"/>
      <c r="M36" s="947">
        <f>J32*J33*J34</f>
        <v>169260</v>
      </c>
      <c r="N36" s="947">
        <f>J34*J35</f>
        <v>21700</v>
      </c>
      <c r="O36" s="934" t="s">
        <v>969</v>
      </c>
      <c r="P36" s="943">
        <v>465000.0</v>
      </c>
      <c r="Q36" s="950"/>
      <c r="R36" s="971"/>
    </row>
    <row r="37">
      <c r="I37" s="934" t="s">
        <v>960</v>
      </c>
      <c r="J37" s="975">
        <v>0.1</v>
      </c>
      <c r="K37" s="954" t="s">
        <v>970</v>
      </c>
      <c r="L37" s="2"/>
      <c r="M37" s="947">
        <f>SUM(M32:N33)+J36</f>
        <v>1359500</v>
      </c>
      <c r="N37" s="967"/>
      <c r="O37" s="934" t="s">
        <v>362</v>
      </c>
      <c r="P37" s="943">
        <f>SUM(P30:P36)</f>
        <v>1943818.75</v>
      </c>
      <c r="Q37" s="950"/>
      <c r="R37" s="950"/>
    </row>
    <row r="38">
      <c r="I38" s="934" t="s">
        <v>963</v>
      </c>
      <c r="J38" s="955">
        <v>0.09</v>
      </c>
      <c r="K38" s="926"/>
      <c r="L38" s="926"/>
      <c r="M38" s="926"/>
      <c r="N38" s="926"/>
      <c r="O38" s="926"/>
      <c r="P38" s="926"/>
      <c r="Q38" s="926"/>
      <c r="R38" s="926"/>
    </row>
    <row r="39">
      <c r="I39" s="972" t="s">
        <v>966</v>
      </c>
      <c r="J39" s="976">
        <v>0.035</v>
      </c>
      <c r="K39" s="926"/>
      <c r="L39" s="926"/>
      <c r="M39" s="926"/>
      <c r="N39" s="926"/>
      <c r="O39" s="926"/>
      <c r="P39" s="926"/>
      <c r="Q39" s="926"/>
      <c r="R39" s="926"/>
    </row>
    <row r="41">
      <c r="I41" s="927" t="s">
        <v>927</v>
      </c>
      <c r="J41" s="928">
        <f>A5</f>
        <v>46113</v>
      </c>
      <c r="K41" s="927" t="str">
        <f>"①R"&amp;year(J41)-2018&amp;"_"&amp;month(J41)&amp;"集計"</f>
        <v>①R8_4集計</v>
      </c>
      <c r="L41" s="5"/>
      <c r="M41" s="5"/>
      <c r="N41" s="929">
        <f>R44</f>
        <v>14865844.75</v>
      </c>
      <c r="O41" s="929">
        <f>R47</f>
        <v>4087404.75</v>
      </c>
      <c r="P41" s="930">
        <f>R48</f>
        <v>0.2749527402</v>
      </c>
      <c r="Q41" s="930">
        <f>R46</f>
        <v>0.6117001861</v>
      </c>
      <c r="R41" s="926"/>
    </row>
    <row r="42">
      <c r="I42" s="934" t="s">
        <v>929</v>
      </c>
      <c r="J42" s="935">
        <f>DAY(EOMONTH(J41,0))</f>
        <v>30</v>
      </c>
      <c r="K42" s="936" t="s">
        <v>930</v>
      </c>
      <c r="L42" s="936" t="s">
        <v>293</v>
      </c>
      <c r="M42" s="936" t="s">
        <v>931</v>
      </c>
      <c r="N42" s="936" t="s">
        <v>932</v>
      </c>
      <c r="O42" s="936" t="s">
        <v>933</v>
      </c>
      <c r="P42" s="936" t="s">
        <v>934</v>
      </c>
      <c r="Q42" s="934" t="s">
        <v>935</v>
      </c>
      <c r="R42" s="937">
        <v>1780.0</v>
      </c>
    </row>
    <row r="43">
      <c r="I43" s="934" t="s">
        <v>293</v>
      </c>
      <c r="J43" s="942">
        <f t="array" ref="J43">xlookup(K41,$B$3:$B$14,$C$3:$C$14)*100</f>
        <v>77.5</v>
      </c>
      <c r="K43" s="943">
        <f>SUM(M43:O43)</f>
        <v>312</v>
      </c>
      <c r="L43" s="943">
        <v>100.0</v>
      </c>
      <c r="M43" s="937">
        <v>312.0</v>
      </c>
      <c r="N43" s="944"/>
      <c r="O43" s="944"/>
      <c r="P43" s="943">
        <f>K43*J42</f>
        <v>9360</v>
      </c>
      <c r="Q43" s="945" t="s">
        <v>936</v>
      </c>
      <c r="R43" s="943">
        <f>P57</f>
        <v>1953724.75</v>
      </c>
    </row>
    <row r="44">
      <c r="I44" s="934" t="s">
        <v>937</v>
      </c>
      <c r="J44" s="937">
        <v>320000.0</v>
      </c>
      <c r="K44" s="943">
        <f>K43*L44%</f>
        <v>241.8</v>
      </c>
      <c r="L44" s="947">
        <f>J43</f>
        <v>77.5</v>
      </c>
      <c r="M44" s="943">
        <f>M43*L44%</f>
        <v>241.8</v>
      </c>
      <c r="N44" s="943">
        <f>N43*L44%</f>
        <v>0</v>
      </c>
      <c r="O44" s="943">
        <f>O43*L44%</f>
        <v>0</v>
      </c>
      <c r="P44" s="943">
        <f>K44*J42</f>
        <v>7254</v>
      </c>
      <c r="Q44" s="934" t="s">
        <v>294</v>
      </c>
      <c r="R44" s="943">
        <f>R42*P44+R43</f>
        <v>14865844.75</v>
      </c>
    </row>
    <row r="45">
      <c r="I45" s="934" t="s">
        <v>938</v>
      </c>
      <c r="J45" s="977">
        <f>270000*4</f>
        <v>1080000</v>
      </c>
      <c r="K45" s="949" t="s">
        <v>939</v>
      </c>
      <c r="L45" s="2"/>
      <c r="M45" s="937">
        <v>45.0</v>
      </c>
      <c r="N45" s="937">
        <v>23.0</v>
      </c>
      <c r="O45" s="937">
        <v>23.0</v>
      </c>
      <c r="P45" s="950"/>
      <c r="Q45" s="934" t="s">
        <v>940</v>
      </c>
      <c r="R45" s="943">
        <f>M50+SUM(M54:N56)</f>
        <v>9093440</v>
      </c>
    </row>
    <row r="46">
      <c r="I46" s="952" t="s">
        <v>941</v>
      </c>
      <c r="J46" s="953">
        <v>1300.0</v>
      </c>
      <c r="K46" s="954" t="s">
        <v>942</v>
      </c>
      <c r="L46" s="2"/>
      <c r="M46" s="943">
        <f t="shared" ref="M46:O46" si="24">M44/(360/M45)</f>
        <v>30.225</v>
      </c>
      <c r="N46" s="943">
        <f t="shared" si="24"/>
        <v>0</v>
      </c>
      <c r="O46" s="943">
        <f t="shared" si="24"/>
        <v>0</v>
      </c>
      <c r="P46" s="943">
        <f t="shared" ref="P46:P47" si="25">M46+N46+O46</f>
        <v>30.225</v>
      </c>
      <c r="Q46" s="934" t="s">
        <v>292</v>
      </c>
      <c r="R46" s="955">
        <f>R45/R44</f>
        <v>0.6117001861</v>
      </c>
    </row>
    <row r="47">
      <c r="I47" s="957" t="s">
        <v>943</v>
      </c>
      <c r="J47" s="953">
        <v>6.0</v>
      </c>
      <c r="K47" s="958" t="s">
        <v>944</v>
      </c>
      <c r="L47" s="937">
        <v>1140.0</v>
      </c>
      <c r="M47" s="943">
        <f>M46*(L47*6)</f>
        <v>206739</v>
      </c>
      <c r="N47" s="943">
        <f>N46*(L47*6)</f>
        <v>0</v>
      </c>
      <c r="O47" s="943">
        <f>O46*(L47*6)</f>
        <v>0</v>
      </c>
      <c r="P47" s="943">
        <f t="shared" si="25"/>
        <v>206739</v>
      </c>
      <c r="Q47" s="934" t="s">
        <v>945</v>
      </c>
      <c r="R47" s="943">
        <f>R44-R45-M57</f>
        <v>4087404.75</v>
      </c>
    </row>
    <row r="48">
      <c r="I48" s="959" t="s">
        <v>946</v>
      </c>
      <c r="J48" s="944"/>
      <c r="K48" s="960"/>
      <c r="L48" s="950"/>
      <c r="M48" s="950"/>
      <c r="N48" s="950"/>
      <c r="O48" s="950"/>
      <c r="P48" s="950"/>
      <c r="Q48" s="934" t="s">
        <v>291</v>
      </c>
      <c r="R48" s="955">
        <f>R47/R44</f>
        <v>0.2749527402</v>
      </c>
    </row>
    <row r="49">
      <c r="I49" s="952" t="s">
        <v>947</v>
      </c>
      <c r="J49" s="953">
        <v>1200.0</v>
      </c>
      <c r="K49" s="954" t="s">
        <v>948</v>
      </c>
      <c r="L49" s="2"/>
      <c r="M49" s="943">
        <f>P47+(P46*J55)</f>
        <v>236964</v>
      </c>
      <c r="N49" s="950"/>
      <c r="O49" s="961" t="s">
        <v>949</v>
      </c>
      <c r="P49" s="945" t="s">
        <v>950</v>
      </c>
      <c r="Q49" s="950"/>
      <c r="R49" s="950"/>
    </row>
    <row r="50">
      <c r="I50" s="963" t="s">
        <v>951</v>
      </c>
      <c r="J50" s="953">
        <v>6.0</v>
      </c>
      <c r="K50" s="954" t="s">
        <v>952</v>
      </c>
      <c r="L50" s="2"/>
      <c r="M50" s="943">
        <f>M49*J42+(K43*J58*J42*150)</f>
        <v>7235280</v>
      </c>
      <c r="N50" s="964"/>
      <c r="O50" s="965" t="s">
        <v>384</v>
      </c>
      <c r="P50" s="966">
        <v>413440.0</v>
      </c>
      <c r="Q50" s="950"/>
      <c r="R50" s="967"/>
    </row>
    <row r="51">
      <c r="I51" s="963" t="s">
        <v>953</v>
      </c>
      <c r="J51" s="953">
        <f>J42</f>
        <v>30</v>
      </c>
      <c r="K51" s="954" t="s">
        <v>954</v>
      </c>
      <c r="L51" s="2"/>
      <c r="M51" s="934" t="s">
        <v>392</v>
      </c>
      <c r="N51" s="959" t="s">
        <v>366</v>
      </c>
      <c r="O51" s="965" t="s">
        <v>380</v>
      </c>
      <c r="P51" s="966">
        <v>93600.0</v>
      </c>
      <c r="Q51" s="950"/>
      <c r="R51" s="950"/>
    </row>
    <row r="52">
      <c r="I52" s="952" t="s">
        <v>955</v>
      </c>
      <c r="J52" s="953">
        <v>1300.0</v>
      </c>
      <c r="K52" s="954" t="s">
        <v>956</v>
      </c>
      <c r="L52" s="2"/>
      <c r="M52" s="947">
        <f t="shared" ref="M52:M53" si="26">J44*1.15</f>
        <v>368000</v>
      </c>
      <c r="N52" s="968">
        <v>15000.0</v>
      </c>
      <c r="O52" s="965" t="s">
        <v>957</v>
      </c>
      <c r="P52" s="966">
        <v>345000.0</v>
      </c>
      <c r="Q52" s="950"/>
      <c r="R52" s="950"/>
    </row>
    <row r="53">
      <c r="I53" s="952" t="s">
        <v>958</v>
      </c>
      <c r="J53" s="953">
        <v>6.0</v>
      </c>
      <c r="K53" s="954" t="s">
        <v>959</v>
      </c>
      <c r="L53" s="2"/>
      <c r="M53" s="947">
        <f t="shared" si="26"/>
        <v>1242000</v>
      </c>
      <c r="N53" s="978">
        <v>60000.0</v>
      </c>
      <c r="O53" s="969" t="s">
        <v>960</v>
      </c>
      <c r="P53" s="937">
        <f>K43*J57*J42*200</f>
        <v>187200</v>
      </c>
      <c r="Q53" s="950"/>
      <c r="R53" s="950"/>
    </row>
    <row r="54">
      <c r="I54" s="952" t="s">
        <v>961</v>
      </c>
      <c r="J54" s="953">
        <v>21.7</v>
      </c>
      <c r="K54" s="970" t="s">
        <v>962</v>
      </c>
      <c r="L54" s="2"/>
      <c r="M54" s="947">
        <f>(9*J42-21.7*5)*J46*J47</f>
        <v>1259700</v>
      </c>
      <c r="N54" s="947">
        <f>(9*J42-21.7*5)*J55</f>
        <v>161500</v>
      </c>
      <c r="O54" s="965" t="s">
        <v>963</v>
      </c>
      <c r="P54" s="937">
        <f t="shared" ref="P54:P55" si="27">K43*J58*J42*300</f>
        <v>252720</v>
      </c>
      <c r="Q54" s="950"/>
      <c r="R54" s="971"/>
    </row>
    <row r="55">
      <c r="I55" s="972" t="s">
        <v>964</v>
      </c>
      <c r="J55" s="973">
        <v>1000.0</v>
      </c>
      <c r="K55" s="949" t="s">
        <v>965</v>
      </c>
      <c r="L55" s="2"/>
      <c r="M55" s="947">
        <f>J49*J50*J51</f>
        <v>216000</v>
      </c>
      <c r="N55" s="947">
        <f>J51*J55</f>
        <v>30000</v>
      </c>
      <c r="O55" s="965" t="s">
        <v>966</v>
      </c>
      <c r="P55" s="937">
        <f t="shared" si="27"/>
        <v>196764.75</v>
      </c>
      <c r="Q55" s="950"/>
      <c r="R55" s="950"/>
    </row>
    <row r="56">
      <c r="I56" s="972" t="s">
        <v>967</v>
      </c>
      <c r="J56" s="950"/>
      <c r="K56" s="949" t="s">
        <v>971</v>
      </c>
      <c r="L56" s="2"/>
      <c r="M56" s="947">
        <f>J52*J53*J54</f>
        <v>169260</v>
      </c>
      <c r="N56" s="947">
        <f>J54*J55</f>
        <v>21700</v>
      </c>
      <c r="O56" s="934" t="s">
        <v>969</v>
      </c>
      <c r="P56" s="943">
        <v>465000.0</v>
      </c>
      <c r="Q56" s="950"/>
      <c r="R56" s="971"/>
    </row>
    <row r="57">
      <c r="I57" s="934" t="s">
        <v>960</v>
      </c>
      <c r="J57" s="975">
        <v>0.1</v>
      </c>
      <c r="K57" s="954" t="s">
        <v>970</v>
      </c>
      <c r="L57" s="2"/>
      <c r="M57" s="947">
        <f>SUM(M52:N53)+J56</f>
        <v>1685000</v>
      </c>
      <c r="N57" s="967"/>
      <c r="O57" s="934" t="s">
        <v>362</v>
      </c>
      <c r="P57" s="943">
        <f>SUM(P50:P56)</f>
        <v>1953724.75</v>
      </c>
      <c r="Q57" s="950"/>
      <c r="R57" s="950"/>
    </row>
    <row r="58">
      <c r="I58" s="934" t="s">
        <v>963</v>
      </c>
      <c r="J58" s="955">
        <v>0.09</v>
      </c>
      <c r="K58" s="926"/>
      <c r="L58" s="926"/>
      <c r="M58" s="926"/>
      <c r="N58" s="926"/>
      <c r="O58" s="926"/>
      <c r="P58" s="926"/>
      <c r="Q58" s="926"/>
      <c r="R58" s="926"/>
    </row>
    <row r="59">
      <c r="I59" s="972" t="s">
        <v>966</v>
      </c>
      <c r="J59" s="976">
        <v>0.035</v>
      </c>
      <c r="K59" s="926"/>
      <c r="L59" s="926"/>
      <c r="M59" s="926"/>
      <c r="N59" s="926"/>
      <c r="O59" s="926"/>
      <c r="P59" s="926"/>
      <c r="Q59" s="926"/>
      <c r="R59" s="926"/>
    </row>
    <row r="61">
      <c r="I61" s="927" t="s">
        <v>927</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929</v>
      </c>
      <c r="J62" s="935">
        <f>DAY(EOMONTH(J61,0))</f>
        <v>31</v>
      </c>
      <c r="K62" s="936" t="s">
        <v>930</v>
      </c>
      <c r="L62" s="936" t="s">
        <v>293</v>
      </c>
      <c r="M62" s="936" t="s">
        <v>931</v>
      </c>
      <c r="N62" s="936" t="s">
        <v>932</v>
      </c>
      <c r="O62" s="936" t="s">
        <v>933</v>
      </c>
      <c r="P62" s="936" t="s">
        <v>934</v>
      </c>
      <c r="Q62" s="934" t="s">
        <v>935</v>
      </c>
      <c r="R62" s="937">
        <v>1780.0</v>
      </c>
    </row>
    <row r="63">
      <c r="I63" s="934" t="s">
        <v>293</v>
      </c>
      <c r="J63" s="942">
        <f t="array" ref="J63">xlookup(K61,$B$3:$B$14,$C$3:$C$14)*100</f>
        <v>0</v>
      </c>
      <c r="K63" s="943">
        <f>SUM(M63:O63)</f>
        <v>312</v>
      </c>
      <c r="L63" s="943">
        <v>100.0</v>
      </c>
      <c r="M63" s="937">
        <v>312.0</v>
      </c>
      <c r="N63" s="944"/>
      <c r="O63" s="944"/>
      <c r="P63" s="943">
        <f>K63*J62</f>
        <v>9672</v>
      </c>
      <c r="Q63" s="945" t="s">
        <v>936</v>
      </c>
      <c r="R63" s="943">
        <f>P77</f>
        <v>1771624</v>
      </c>
    </row>
    <row r="64">
      <c r="I64" s="934" t="s">
        <v>937</v>
      </c>
      <c r="J64" s="937">
        <v>320000.0</v>
      </c>
      <c r="K64" s="943">
        <f>K63*L64%</f>
        <v>0</v>
      </c>
      <c r="L64" s="947">
        <f>J63</f>
        <v>0</v>
      </c>
      <c r="M64" s="943">
        <f>M63*L64%</f>
        <v>0</v>
      </c>
      <c r="N64" s="943">
        <f>N63*L64%</f>
        <v>0</v>
      </c>
      <c r="O64" s="943">
        <f>O63*L64%</f>
        <v>0</v>
      </c>
      <c r="P64" s="943">
        <f>K64*J62</f>
        <v>0</v>
      </c>
      <c r="Q64" s="934" t="s">
        <v>294</v>
      </c>
      <c r="R64" s="943">
        <f>R62*P64+R63</f>
        <v>1771624</v>
      </c>
    </row>
    <row r="65">
      <c r="I65" s="934" t="s">
        <v>938</v>
      </c>
      <c r="J65" s="977">
        <v>810000.0</v>
      </c>
      <c r="K65" s="949" t="s">
        <v>939</v>
      </c>
      <c r="L65" s="2"/>
      <c r="M65" s="937">
        <v>45.0</v>
      </c>
      <c r="N65" s="937">
        <v>23.0</v>
      </c>
      <c r="O65" s="937">
        <v>23.0</v>
      </c>
      <c r="P65" s="950"/>
      <c r="Q65" s="934" t="s">
        <v>940</v>
      </c>
      <c r="R65" s="943">
        <f>M70+SUM(M74:N76)</f>
        <v>2267092</v>
      </c>
    </row>
    <row r="66">
      <c r="I66" s="952" t="s">
        <v>941</v>
      </c>
      <c r="J66" s="953">
        <v>1300.0</v>
      </c>
      <c r="K66" s="954" t="s">
        <v>942</v>
      </c>
      <c r="L66" s="2"/>
      <c r="M66" s="943">
        <f t="shared" ref="M66:O66" si="28">M64/(360/M65)</f>
        <v>0</v>
      </c>
      <c r="N66" s="943">
        <f t="shared" si="28"/>
        <v>0</v>
      </c>
      <c r="O66" s="943">
        <f t="shared" si="28"/>
        <v>0</v>
      </c>
      <c r="P66" s="943">
        <f t="shared" ref="P66:P67" si="29">M66+N66+O66</f>
        <v>0</v>
      </c>
      <c r="Q66" s="934" t="s">
        <v>292</v>
      </c>
      <c r="R66" s="955">
        <f>R65/R64</f>
        <v>1.279668824</v>
      </c>
    </row>
    <row r="67">
      <c r="I67" s="957" t="s">
        <v>943</v>
      </c>
      <c r="J67" s="953">
        <v>6.0</v>
      </c>
      <c r="K67" s="958" t="s">
        <v>944</v>
      </c>
      <c r="L67" s="937">
        <v>1140.0</v>
      </c>
      <c r="M67" s="943">
        <f>M66*(L67*6)</f>
        <v>0</v>
      </c>
      <c r="N67" s="943">
        <f>N66*(L67*6)</f>
        <v>0</v>
      </c>
      <c r="O67" s="943">
        <f>O66*(L67*6)</f>
        <v>0</v>
      </c>
      <c r="P67" s="943">
        <f t="shared" si="29"/>
        <v>0</v>
      </c>
      <c r="Q67" s="934" t="s">
        <v>945</v>
      </c>
      <c r="R67" s="943">
        <f>R64-R65-M77</f>
        <v>-1854968</v>
      </c>
    </row>
    <row r="68">
      <c r="I68" s="959" t="s">
        <v>946</v>
      </c>
      <c r="J68" s="944"/>
      <c r="K68" s="960"/>
      <c r="L68" s="950"/>
      <c r="M68" s="950"/>
      <c r="N68" s="950"/>
      <c r="O68" s="950"/>
      <c r="P68" s="950"/>
      <c r="Q68" s="934" t="s">
        <v>291</v>
      </c>
      <c r="R68" s="955">
        <f>R67/R64</f>
        <v>-1.047043842</v>
      </c>
    </row>
    <row r="69">
      <c r="I69" s="952" t="s">
        <v>947</v>
      </c>
      <c r="J69" s="953">
        <v>1200.0</v>
      </c>
      <c r="K69" s="954" t="s">
        <v>948</v>
      </c>
      <c r="L69" s="2"/>
      <c r="M69" s="943">
        <f>P67+(P66*J75)</f>
        <v>0</v>
      </c>
      <c r="N69" s="950"/>
      <c r="O69" s="961" t="s">
        <v>949</v>
      </c>
      <c r="P69" s="945" t="s">
        <v>950</v>
      </c>
      <c r="Q69" s="950"/>
      <c r="R69" s="950"/>
    </row>
    <row r="70">
      <c r="I70" s="963" t="s">
        <v>951</v>
      </c>
      <c r="J70" s="953">
        <v>6.0</v>
      </c>
      <c r="K70" s="954" t="s">
        <v>952</v>
      </c>
      <c r="L70" s="2"/>
      <c r="M70" s="943">
        <f>M69*J62+(K63*J78*J62*150)</f>
        <v>130572</v>
      </c>
      <c r="N70" s="964"/>
      <c r="O70" s="965" t="s">
        <v>384</v>
      </c>
      <c r="P70" s="966">
        <v>413440.0</v>
      </c>
      <c r="Q70" s="950"/>
      <c r="R70" s="967"/>
    </row>
    <row r="71">
      <c r="I71" s="963" t="s">
        <v>953</v>
      </c>
      <c r="J71" s="953">
        <f>J62</f>
        <v>31</v>
      </c>
      <c r="K71" s="954" t="s">
        <v>954</v>
      </c>
      <c r="L71" s="2"/>
      <c r="M71" s="934" t="s">
        <v>392</v>
      </c>
      <c r="N71" s="959" t="s">
        <v>366</v>
      </c>
      <c r="O71" s="965" t="s">
        <v>380</v>
      </c>
      <c r="P71" s="966">
        <v>93600.0</v>
      </c>
      <c r="Q71" s="950"/>
      <c r="R71" s="950"/>
    </row>
    <row r="72">
      <c r="I72" s="952" t="s">
        <v>955</v>
      </c>
      <c r="J72" s="953">
        <v>1300.0</v>
      </c>
      <c r="K72" s="954" t="s">
        <v>956</v>
      </c>
      <c r="L72" s="2"/>
      <c r="M72" s="947">
        <f t="shared" ref="M72:M73" si="30">J64*1.15</f>
        <v>368000</v>
      </c>
      <c r="N72" s="968">
        <v>15000.0</v>
      </c>
      <c r="O72" s="965" t="s">
        <v>957</v>
      </c>
      <c r="P72" s="966">
        <v>345000.0</v>
      </c>
      <c r="Q72" s="950"/>
      <c r="R72" s="950"/>
    </row>
    <row r="73">
      <c r="I73" s="952" t="s">
        <v>958</v>
      </c>
      <c r="J73" s="953">
        <v>6.0</v>
      </c>
      <c r="K73" s="954" t="s">
        <v>959</v>
      </c>
      <c r="L73" s="2"/>
      <c r="M73" s="947">
        <f t="shared" si="30"/>
        <v>931500</v>
      </c>
      <c r="N73" s="947">
        <v>45000.0</v>
      </c>
      <c r="O73" s="969" t="s">
        <v>960</v>
      </c>
      <c r="P73" s="937">
        <f>K63*J77*J62*200</f>
        <v>193440</v>
      </c>
      <c r="Q73" s="950"/>
      <c r="R73" s="950"/>
    </row>
    <row r="74">
      <c r="I74" s="952" t="s">
        <v>961</v>
      </c>
      <c r="J74" s="953">
        <v>21.7</v>
      </c>
      <c r="K74" s="970" t="s">
        <v>962</v>
      </c>
      <c r="L74" s="2"/>
      <c r="M74" s="947">
        <f>(9*J62-21.7*4)*J66*J67</f>
        <v>1499160</v>
      </c>
      <c r="N74" s="947">
        <f>(9*J62-21.7*4)*J75</f>
        <v>192200</v>
      </c>
      <c r="O74" s="965" t="s">
        <v>963</v>
      </c>
      <c r="P74" s="937">
        <f t="shared" ref="P74:P75" si="31">K63*J78*J62*300</f>
        <v>261144</v>
      </c>
      <c r="Q74" s="950"/>
      <c r="R74" s="971"/>
    </row>
    <row r="75">
      <c r="I75" s="972" t="s">
        <v>964</v>
      </c>
      <c r="J75" s="973">
        <v>1000.0</v>
      </c>
      <c r="K75" s="949" t="s">
        <v>965</v>
      </c>
      <c r="L75" s="2"/>
      <c r="M75" s="947">
        <f>J69*J70*J71</f>
        <v>223200</v>
      </c>
      <c r="N75" s="947">
        <f>J71*J75</f>
        <v>31000</v>
      </c>
      <c r="O75" s="965" t="s">
        <v>966</v>
      </c>
      <c r="P75" s="937">
        <f t="shared" si="31"/>
        <v>0</v>
      </c>
      <c r="Q75" s="950"/>
      <c r="R75" s="950"/>
    </row>
    <row r="76">
      <c r="I76" s="972" t="s">
        <v>967</v>
      </c>
      <c r="J76" s="950"/>
      <c r="K76" s="949" t="s">
        <v>971</v>
      </c>
      <c r="L76" s="2"/>
      <c r="M76" s="947">
        <f>J72*J73*J74</f>
        <v>169260</v>
      </c>
      <c r="N76" s="947">
        <f>J74*J75</f>
        <v>21700</v>
      </c>
      <c r="O76" s="934" t="s">
        <v>969</v>
      </c>
      <c r="P76" s="943">
        <v>465000.0</v>
      </c>
      <c r="Q76" s="950"/>
      <c r="R76" s="971"/>
    </row>
    <row r="77">
      <c r="I77" s="934" t="s">
        <v>960</v>
      </c>
      <c r="J77" s="975">
        <v>0.1</v>
      </c>
      <c r="K77" s="954" t="s">
        <v>970</v>
      </c>
      <c r="L77" s="2"/>
      <c r="M77" s="947">
        <f>SUM(M72:N73)+J76</f>
        <v>1359500</v>
      </c>
      <c r="N77" s="967"/>
      <c r="O77" s="934" t="s">
        <v>362</v>
      </c>
      <c r="P77" s="943">
        <f>SUM(P70:P76)</f>
        <v>1771624</v>
      </c>
      <c r="Q77" s="950"/>
      <c r="R77" s="950"/>
    </row>
    <row r="78">
      <c r="I78" s="934" t="s">
        <v>963</v>
      </c>
      <c r="J78" s="955">
        <v>0.09</v>
      </c>
      <c r="K78" s="926"/>
      <c r="L78" s="926"/>
      <c r="M78" s="926"/>
      <c r="N78" s="926"/>
      <c r="O78" s="926"/>
      <c r="P78" s="926"/>
      <c r="Q78" s="926"/>
      <c r="R78" s="926"/>
    </row>
    <row r="79">
      <c r="I79" s="972" t="s">
        <v>966</v>
      </c>
      <c r="J79" s="976">
        <v>0.035</v>
      </c>
      <c r="K79" s="926"/>
      <c r="L79" s="926"/>
      <c r="M79" s="926"/>
      <c r="N79" s="926"/>
      <c r="O79" s="926"/>
      <c r="P79" s="926"/>
      <c r="Q79" s="926"/>
      <c r="R79" s="926"/>
    </row>
    <row r="81">
      <c r="I81" s="927" t="s">
        <v>927</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929</v>
      </c>
      <c r="J82" s="935">
        <f>DAY(EOMONTH(J81,0))</f>
        <v>30</v>
      </c>
      <c r="K82" s="936" t="s">
        <v>930</v>
      </c>
      <c r="L82" s="936" t="s">
        <v>293</v>
      </c>
      <c r="M82" s="936" t="s">
        <v>931</v>
      </c>
      <c r="N82" s="936" t="s">
        <v>932</v>
      </c>
      <c r="O82" s="936" t="s">
        <v>933</v>
      </c>
      <c r="P82" s="936" t="s">
        <v>934</v>
      </c>
      <c r="Q82" s="934" t="s">
        <v>935</v>
      </c>
      <c r="R82" s="937">
        <v>1780.0</v>
      </c>
    </row>
    <row r="83">
      <c r="I83" s="934" t="s">
        <v>293</v>
      </c>
      <c r="J83" s="942">
        <f t="array" ref="J83">xlookup(K81,$B$3:$B$14,$C$3:$C$14)*100</f>
        <v>0</v>
      </c>
      <c r="K83" s="943">
        <f>SUM(M83:O83)</f>
        <v>312</v>
      </c>
      <c r="L83" s="943">
        <v>100.0</v>
      </c>
      <c r="M83" s="937">
        <v>312.0</v>
      </c>
      <c r="N83" s="944"/>
      <c r="O83" s="944"/>
      <c r="P83" s="943">
        <f>K83*J82</f>
        <v>9360</v>
      </c>
      <c r="Q83" s="945" t="s">
        <v>936</v>
      </c>
      <c r="R83" s="943">
        <f>P97</f>
        <v>1756960</v>
      </c>
    </row>
    <row r="84">
      <c r="I84" s="934" t="s">
        <v>937</v>
      </c>
      <c r="J84" s="937">
        <v>320000.0</v>
      </c>
      <c r="K84" s="943">
        <f>K83*L84%</f>
        <v>0</v>
      </c>
      <c r="L84" s="947">
        <f>J83</f>
        <v>0</v>
      </c>
      <c r="M84" s="943">
        <f>M83*L84%</f>
        <v>0</v>
      </c>
      <c r="N84" s="943">
        <f>N83*L84%</f>
        <v>0</v>
      </c>
      <c r="O84" s="943">
        <f>O83*L84%</f>
        <v>0</v>
      </c>
      <c r="P84" s="943">
        <f>K84*J82</f>
        <v>0</v>
      </c>
      <c r="Q84" s="934" t="s">
        <v>294</v>
      </c>
      <c r="R84" s="943">
        <f>R82*P84+R83</f>
        <v>1756960</v>
      </c>
    </row>
    <row r="85">
      <c r="I85" s="934" t="s">
        <v>938</v>
      </c>
      <c r="J85" s="977">
        <v>810000.0</v>
      </c>
      <c r="K85" s="949" t="s">
        <v>939</v>
      </c>
      <c r="L85" s="2"/>
      <c r="M85" s="937">
        <v>45.0</v>
      </c>
      <c r="N85" s="937">
        <v>23.0</v>
      </c>
      <c r="O85" s="937">
        <v>23.0</v>
      </c>
      <c r="P85" s="950"/>
      <c r="Q85" s="934" t="s">
        <v>940</v>
      </c>
      <c r="R85" s="943">
        <f>M90+SUM(M94:N96)</f>
        <v>2175480</v>
      </c>
    </row>
    <row r="86">
      <c r="I86" s="952" t="s">
        <v>941</v>
      </c>
      <c r="J86" s="953">
        <v>1300.0</v>
      </c>
      <c r="K86" s="954" t="s">
        <v>942</v>
      </c>
      <c r="L86" s="2"/>
      <c r="M86" s="943">
        <f t="shared" ref="M86:O86" si="32">M84/(360/M85)</f>
        <v>0</v>
      </c>
      <c r="N86" s="943">
        <f t="shared" si="32"/>
        <v>0</v>
      </c>
      <c r="O86" s="943">
        <f t="shared" si="32"/>
        <v>0</v>
      </c>
      <c r="P86" s="943">
        <f t="shared" ref="P86:P87" si="33">M86+N86+O86</f>
        <v>0</v>
      </c>
      <c r="Q86" s="934" t="s">
        <v>292</v>
      </c>
      <c r="R86" s="955">
        <f>R85/R84</f>
        <v>1.238206903</v>
      </c>
    </row>
    <row r="87">
      <c r="I87" s="957" t="s">
        <v>943</v>
      </c>
      <c r="J87" s="953">
        <v>6.0</v>
      </c>
      <c r="K87" s="958" t="s">
        <v>944</v>
      </c>
      <c r="L87" s="937">
        <v>1140.0</v>
      </c>
      <c r="M87" s="943">
        <f>M86*(L87*6)</f>
        <v>0</v>
      </c>
      <c r="N87" s="943">
        <f>N86*(L87*6)</f>
        <v>0</v>
      </c>
      <c r="O87" s="943">
        <f>O86*(L87*6)</f>
        <v>0</v>
      </c>
      <c r="P87" s="943">
        <f t="shared" si="33"/>
        <v>0</v>
      </c>
      <c r="Q87" s="934" t="s">
        <v>945</v>
      </c>
      <c r="R87" s="943">
        <f>R84-R85-M97</f>
        <v>-1778020</v>
      </c>
    </row>
    <row r="88">
      <c r="I88" s="959" t="s">
        <v>946</v>
      </c>
      <c r="J88" s="944"/>
      <c r="K88" s="960"/>
      <c r="L88" s="950"/>
      <c r="M88" s="950"/>
      <c r="N88" s="950"/>
      <c r="O88" s="950"/>
      <c r="P88" s="950"/>
      <c r="Q88" s="934" t="s">
        <v>291</v>
      </c>
      <c r="R88" s="955">
        <f>R87/R84</f>
        <v>-1.011986613</v>
      </c>
    </row>
    <row r="89">
      <c r="I89" s="952" t="s">
        <v>947</v>
      </c>
      <c r="J89" s="953">
        <v>1200.0</v>
      </c>
      <c r="K89" s="954" t="s">
        <v>948</v>
      </c>
      <c r="L89" s="2"/>
      <c r="M89" s="943">
        <f>P87+(P86*J95)</f>
        <v>0</v>
      </c>
      <c r="N89" s="950"/>
      <c r="O89" s="961" t="s">
        <v>949</v>
      </c>
      <c r="P89" s="945" t="s">
        <v>950</v>
      </c>
      <c r="Q89" s="950"/>
      <c r="R89" s="950"/>
    </row>
    <row r="90">
      <c r="I90" s="963" t="s">
        <v>951</v>
      </c>
      <c r="J90" s="953">
        <v>6.0</v>
      </c>
      <c r="K90" s="954" t="s">
        <v>952</v>
      </c>
      <c r="L90" s="2"/>
      <c r="M90" s="943">
        <f>M89*J82+(K83*J98*J82*150)</f>
        <v>126360</v>
      </c>
      <c r="N90" s="964"/>
      <c r="O90" s="965" t="s">
        <v>384</v>
      </c>
      <c r="P90" s="966">
        <v>413440.0</v>
      </c>
      <c r="Q90" s="950"/>
      <c r="R90" s="967"/>
    </row>
    <row r="91">
      <c r="I91" s="963" t="s">
        <v>953</v>
      </c>
      <c r="J91" s="953">
        <f>J82</f>
        <v>30</v>
      </c>
      <c r="K91" s="954" t="s">
        <v>954</v>
      </c>
      <c r="L91" s="2"/>
      <c r="M91" s="934" t="s">
        <v>392</v>
      </c>
      <c r="N91" s="959" t="s">
        <v>366</v>
      </c>
      <c r="O91" s="965" t="s">
        <v>380</v>
      </c>
      <c r="P91" s="966">
        <v>93600.0</v>
      </c>
      <c r="Q91" s="950"/>
      <c r="R91" s="950"/>
    </row>
    <row r="92">
      <c r="I92" s="952" t="s">
        <v>955</v>
      </c>
      <c r="J92" s="953">
        <v>1300.0</v>
      </c>
      <c r="K92" s="954" t="s">
        <v>956</v>
      </c>
      <c r="L92" s="2"/>
      <c r="M92" s="947">
        <f t="shared" ref="M92:M93" si="34">J84*1.15</f>
        <v>368000</v>
      </c>
      <c r="N92" s="968">
        <v>15000.0</v>
      </c>
      <c r="O92" s="965" t="s">
        <v>957</v>
      </c>
      <c r="P92" s="966">
        <v>345000.0</v>
      </c>
      <c r="Q92" s="950"/>
      <c r="R92" s="950"/>
    </row>
    <row r="93">
      <c r="I93" s="952" t="s">
        <v>958</v>
      </c>
      <c r="J93" s="953">
        <v>6.0</v>
      </c>
      <c r="K93" s="954" t="s">
        <v>959</v>
      </c>
      <c r="L93" s="2"/>
      <c r="M93" s="947">
        <f t="shared" si="34"/>
        <v>931500</v>
      </c>
      <c r="N93" s="947">
        <v>45000.0</v>
      </c>
      <c r="O93" s="969" t="s">
        <v>960</v>
      </c>
      <c r="P93" s="937">
        <f>K83*J97*J82*200</f>
        <v>187200</v>
      </c>
      <c r="Q93" s="950"/>
      <c r="R93" s="950"/>
    </row>
    <row r="94">
      <c r="I94" s="952" t="s">
        <v>961</v>
      </c>
      <c r="J94" s="953">
        <v>21.7</v>
      </c>
      <c r="K94" s="970" t="s">
        <v>962</v>
      </c>
      <c r="L94" s="2"/>
      <c r="M94" s="947">
        <f>(9*J82-21.7*4)*J86*J87</f>
        <v>1428960</v>
      </c>
      <c r="N94" s="947">
        <f>(9*J82-21.7*4)*J95</f>
        <v>183200</v>
      </c>
      <c r="O94" s="965" t="s">
        <v>963</v>
      </c>
      <c r="P94" s="937">
        <f t="shared" ref="P94:P95" si="35">K83*J98*J82*300</f>
        <v>252720</v>
      </c>
      <c r="Q94" s="950"/>
      <c r="R94" s="971"/>
    </row>
    <row r="95">
      <c r="I95" s="972" t="s">
        <v>964</v>
      </c>
      <c r="J95" s="973">
        <v>1000.0</v>
      </c>
      <c r="K95" s="949" t="s">
        <v>965</v>
      </c>
      <c r="L95" s="2"/>
      <c r="M95" s="947">
        <f>J89*J90*J91</f>
        <v>216000</v>
      </c>
      <c r="N95" s="947">
        <f>J91*J95</f>
        <v>30000</v>
      </c>
      <c r="O95" s="965" t="s">
        <v>966</v>
      </c>
      <c r="P95" s="937">
        <f t="shared" si="35"/>
        <v>0</v>
      </c>
      <c r="Q95" s="950"/>
      <c r="R95" s="950"/>
    </row>
    <row r="96">
      <c r="I96" s="972" t="s">
        <v>967</v>
      </c>
      <c r="J96" s="950"/>
      <c r="K96" s="949" t="s">
        <v>971</v>
      </c>
      <c r="L96" s="2"/>
      <c r="M96" s="947">
        <f>J92*J93*J94</f>
        <v>169260</v>
      </c>
      <c r="N96" s="947">
        <f>J94*J95</f>
        <v>21700</v>
      </c>
      <c r="O96" s="934" t="s">
        <v>969</v>
      </c>
      <c r="P96" s="943">
        <v>465000.0</v>
      </c>
      <c r="Q96" s="950"/>
      <c r="R96" s="971"/>
    </row>
    <row r="97">
      <c r="I97" s="934" t="s">
        <v>960</v>
      </c>
      <c r="J97" s="975">
        <v>0.1</v>
      </c>
      <c r="K97" s="954" t="s">
        <v>970</v>
      </c>
      <c r="L97" s="2"/>
      <c r="M97" s="947">
        <f>SUM(M92:N93)+J96</f>
        <v>1359500</v>
      </c>
      <c r="N97" s="967"/>
      <c r="O97" s="934" t="s">
        <v>362</v>
      </c>
      <c r="P97" s="943">
        <f>SUM(P90:P96)</f>
        <v>1756960</v>
      </c>
      <c r="Q97" s="950"/>
      <c r="R97" s="950"/>
    </row>
    <row r="98">
      <c r="I98" s="934" t="s">
        <v>963</v>
      </c>
      <c r="J98" s="955">
        <v>0.09</v>
      </c>
      <c r="K98" s="926"/>
      <c r="L98" s="926"/>
      <c r="M98" s="926"/>
      <c r="N98" s="926"/>
      <c r="O98" s="926"/>
      <c r="P98" s="926"/>
      <c r="Q98" s="926"/>
      <c r="R98" s="926"/>
    </row>
    <row r="99">
      <c r="I99" s="972" t="s">
        <v>966</v>
      </c>
      <c r="J99" s="976">
        <v>0.035</v>
      </c>
      <c r="K99" s="926"/>
      <c r="L99" s="926"/>
      <c r="M99" s="926"/>
      <c r="N99" s="926"/>
      <c r="O99" s="926"/>
      <c r="P99" s="926"/>
      <c r="Q99" s="926"/>
      <c r="R99" s="926"/>
    </row>
    <row r="101">
      <c r="I101" s="927" t="s">
        <v>927</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929</v>
      </c>
      <c r="J102" s="935">
        <f>DAY(EOMONTH(J101,0))</f>
        <v>31</v>
      </c>
      <c r="K102" s="936" t="s">
        <v>930</v>
      </c>
      <c r="L102" s="936" t="s">
        <v>293</v>
      </c>
      <c r="M102" s="936" t="s">
        <v>931</v>
      </c>
      <c r="N102" s="936" t="s">
        <v>932</v>
      </c>
      <c r="O102" s="936" t="s">
        <v>933</v>
      </c>
      <c r="P102" s="936" t="s">
        <v>934</v>
      </c>
      <c r="Q102" s="934" t="s">
        <v>935</v>
      </c>
      <c r="R102" s="937">
        <v>1780.0</v>
      </c>
    </row>
    <row r="103">
      <c r="I103" s="934" t="s">
        <v>293</v>
      </c>
      <c r="J103" s="942">
        <f t="array" ref="J103">xlookup(K101,$B$3:$B$14,$C$3:$C$14)*100</f>
        <v>0</v>
      </c>
      <c r="K103" s="943">
        <f>SUM(M103:O103)</f>
        <v>312</v>
      </c>
      <c r="L103" s="943">
        <v>100.0</v>
      </c>
      <c r="M103" s="937">
        <v>312.0</v>
      </c>
      <c r="N103" s="944"/>
      <c r="O103" s="944"/>
      <c r="P103" s="943">
        <f>K103*J102</f>
        <v>9672</v>
      </c>
      <c r="Q103" s="945" t="s">
        <v>936</v>
      </c>
      <c r="R103" s="943">
        <f>P117</f>
        <v>1771624</v>
      </c>
    </row>
    <row r="104">
      <c r="I104" s="934" t="s">
        <v>937</v>
      </c>
      <c r="J104" s="937">
        <v>320000.0</v>
      </c>
      <c r="K104" s="943">
        <f>K103*L104%</f>
        <v>0</v>
      </c>
      <c r="L104" s="947">
        <f>J103</f>
        <v>0</v>
      </c>
      <c r="M104" s="943">
        <f>M103*L104%</f>
        <v>0</v>
      </c>
      <c r="N104" s="943">
        <f>N103*L104%</f>
        <v>0</v>
      </c>
      <c r="O104" s="943">
        <f>O103*L104%</f>
        <v>0</v>
      </c>
      <c r="P104" s="943">
        <f>K104*J102</f>
        <v>0</v>
      </c>
      <c r="Q104" s="934" t="s">
        <v>294</v>
      </c>
      <c r="R104" s="943">
        <f>R102*P104+R103</f>
        <v>1771624</v>
      </c>
    </row>
    <row r="105">
      <c r="I105" s="934" t="s">
        <v>938</v>
      </c>
      <c r="J105" s="977">
        <v>810000.0</v>
      </c>
      <c r="K105" s="949" t="s">
        <v>939</v>
      </c>
      <c r="L105" s="2"/>
      <c r="M105" s="937">
        <v>45.0</v>
      </c>
      <c r="N105" s="937">
        <v>23.0</v>
      </c>
      <c r="O105" s="937">
        <v>23.0</v>
      </c>
      <c r="P105" s="950"/>
      <c r="Q105" s="934" t="s">
        <v>940</v>
      </c>
      <c r="R105" s="943">
        <f>M110+SUM(M114:N116)</f>
        <v>2267092</v>
      </c>
    </row>
    <row r="106">
      <c r="I106" s="952" t="s">
        <v>941</v>
      </c>
      <c r="J106" s="953">
        <v>1300.0</v>
      </c>
      <c r="K106" s="954" t="s">
        <v>942</v>
      </c>
      <c r="L106" s="2"/>
      <c r="M106" s="943">
        <f t="shared" ref="M106:O106" si="36">M104/(360/M105)</f>
        <v>0</v>
      </c>
      <c r="N106" s="943">
        <f t="shared" si="36"/>
        <v>0</v>
      </c>
      <c r="O106" s="943">
        <f t="shared" si="36"/>
        <v>0</v>
      </c>
      <c r="P106" s="943">
        <f t="shared" ref="P106:P107" si="37">M106+N106+O106</f>
        <v>0</v>
      </c>
      <c r="Q106" s="934" t="s">
        <v>292</v>
      </c>
      <c r="R106" s="955">
        <f>R105/R104</f>
        <v>1.279668824</v>
      </c>
    </row>
    <row r="107">
      <c r="I107" s="957" t="s">
        <v>943</v>
      </c>
      <c r="J107" s="953">
        <v>6.0</v>
      </c>
      <c r="K107" s="958" t="s">
        <v>944</v>
      </c>
      <c r="L107" s="937">
        <v>1140.0</v>
      </c>
      <c r="M107" s="943">
        <f>M106*(L107*6)</f>
        <v>0</v>
      </c>
      <c r="N107" s="943">
        <f>N106*(L107*6)</f>
        <v>0</v>
      </c>
      <c r="O107" s="943">
        <f>O106*(L107*6)</f>
        <v>0</v>
      </c>
      <c r="P107" s="943">
        <f t="shared" si="37"/>
        <v>0</v>
      </c>
      <c r="Q107" s="934" t="s">
        <v>945</v>
      </c>
      <c r="R107" s="943">
        <f>R104-R105-M117</f>
        <v>-1854968</v>
      </c>
    </row>
    <row r="108">
      <c r="I108" s="959" t="s">
        <v>946</v>
      </c>
      <c r="J108" s="944"/>
      <c r="K108" s="960"/>
      <c r="L108" s="950"/>
      <c r="M108" s="950"/>
      <c r="N108" s="950"/>
      <c r="O108" s="950"/>
      <c r="P108" s="950"/>
      <c r="Q108" s="934" t="s">
        <v>291</v>
      </c>
      <c r="R108" s="955">
        <f>R107/R104</f>
        <v>-1.047043842</v>
      </c>
    </row>
    <row r="109">
      <c r="I109" s="952" t="s">
        <v>947</v>
      </c>
      <c r="J109" s="953">
        <v>1200.0</v>
      </c>
      <c r="K109" s="954" t="s">
        <v>948</v>
      </c>
      <c r="L109" s="2"/>
      <c r="M109" s="943">
        <f>P107+(P106*J115)</f>
        <v>0</v>
      </c>
      <c r="N109" s="950"/>
      <c r="O109" s="961" t="s">
        <v>949</v>
      </c>
      <c r="P109" s="945" t="s">
        <v>950</v>
      </c>
      <c r="Q109" s="950"/>
      <c r="R109" s="950"/>
    </row>
    <row r="110">
      <c r="I110" s="963" t="s">
        <v>951</v>
      </c>
      <c r="J110" s="953">
        <v>6.0</v>
      </c>
      <c r="K110" s="954" t="s">
        <v>952</v>
      </c>
      <c r="L110" s="2"/>
      <c r="M110" s="943">
        <f>M109*J102+(K103*J118*J102*150)</f>
        <v>130572</v>
      </c>
      <c r="N110" s="964"/>
      <c r="O110" s="965" t="s">
        <v>384</v>
      </c>
      <c r="P110" s="966">
        <v>413440.0</v>
      </c>
      <c r="Q110" s="950"/>
      <c r="R110" s="967"/>
    </row>
    <row r="111">
      <c r="I111" s="963" t="s">
        <v>953</v>
      </c>
      <c r="J111" s="953">
        <f>J102</f>
        <v>31</v>
      </c>
      <c r="K111" s="954" t="s">
        <v>954</v>
      </c>
      <c r="L111" s="2"/>
      <c r="M111" s="934" t="s">
        <v>392</v>
      </c>
      <c r="N111" s="959" t="s">
        <v>366</v>
      </c>
      <c r="O111" s="965" t="s">
        <v>380</v>
      </c>
      <c r="P111" s="966">
        <v>93600.0</v>
      </c>
      <c r="Q111" s="950"/>
      <c r="R111" s="950"/>
    </row>
    <row r="112">
      <c r="I112" s="952" t="s">
        <v>955</v>
      </c>
      <c r="J112" s="953">
        <v>1300.0</v>
      </c>
      <c r="K112" s="954" t="s">
        <v>956</v>
      </c>
      <c r="L112" s="2"/>
      <c r="M112" s="947">
        <f t="shared" ref="M112:M113" si="38">J104*1.15</f>
        <v>368000</v>
      </c>
      <c r="N112" s="968">
        <v>15000.0</v>
      </c>
      <c r="O112" s="965" t="s">
        <v>957</v>
      </c>
      <c r="P112" s="966">
        <v>345000.0</v>
      </c>
      <c r="Q112" s="950"/>
      <c r="R112" s="950"/>
    </row>
    <row r="113">
      <c r="I113" s="952" t="s">
        <v>958</v>
      </c>
      <c r="J113" s="953">
        <v>6.0</v>
      </c>
      <c r="K113" s="954" t="s">
        <v>959</v>
      </c>
      <c r="L113" s="2"/>
      <c r="M113" s="947">
        <f t="shared" si="38"/>
        <v>931500</v>
      </c>
      <c r="N113" s="947">
        <v>45000.0</v>
      </c>
      <c r="O113" s="969" t="s">
        <v>960</v>
      </c>
      <c r="P113" s="937">
        <f>K103*J117*J102*200</f>
        <v>193440</v>
      </c>
      <c r="Q113" s="950"/>
      <c r="R113" s="950"/>
    </row>
    <row r="114">
      <c r="I114" s="952" t="s">
        <v>961</v>
      </c>
      <c r="J114" s="953">
        <v>21.7</v>
      </c>
      <c r="K114" s="970" t="s">
        <v>962</v>
      </c>
      <c r="L114" s="2"/>
      <c r="M114" s="947">
        <f>(9*J102-21.7*4)*J106*J107</f>
        <v>1499160</v>
      </c>
      <c r="N114" s="947">
        <f>(9*J102-21.7*4)*J115</f>
        <v>192200</v>
      </c>
      <c r="O114" s="965" t="s">
        <v>963</v>
      </c>
      <c r="P114" s="937">
        <f t="shared" ref="P114:P115" si="39">K103*J118*J102*300</f>
        <v>261144</v>
      </c>
      <c r="Q114" s="950"/>
      <c r="R114" s="971"/>
    </row>
    <row r="115">
      <c r="I115" s="972" t="s">
        <v>964</v>
      </c>
      <c r="J115" s="973">
        <v>1000.0</v>
      </c>
      <c r="K115" s="949" t="s">
        <v>965</v>
      </c>
      <c r="L115" s="2"/>
      <c r="M115" s="947">
        <f>J109*J110*J111</f>
        <v>223200</v>
      </c>
      <c r="N115" s="947">
        <f>J111*J115</f>
        <v>31000</v>
      </c>
      <c r="O115" s="965" t="s">
        <v>966</v>
      </c>
      <c r="P115" s="937">
        <f t="shared" si="39"/>
        <v>0</v>
      </c>
      <c r="Q115" s="950"/>
      <c r="R115" s="950"/>
    </row>
    <row r="116">
      <c r="I116" s="972" t="s">
        <v>967</v>
      </c>
      <c r="J116" s="950"/>
      <c r="K116" s="949" t="s">
        <v>971</v>
      </c>
      <c r="L116" s="2"/>
      <c r="M116" s="947">
        <f>J112*J113*J114</f>
        <v>169260</v>
      </c>
      <c r="N116" s="947">
        <f>J114*J115</f>
        <v>21700</v>
      </c>
      <c r="O116" s="934" t="s">
        <v>969</v>
      </c>
      <c r="P116" s="943">
        <v>465000.0</v>
      </c>
      <c r="Q116" s="950"/>
      <c r="R116" s="971"/>
    </row>
    <row r="117">
      <c r="I117" s="934" t="s">
        <v>960</v>
      </c>
      <c r="J117" s="975">
        <v>0.1</v>
      </c>
      <c r="K117" s="954" t="s">
        <v>970</v>
      </c>
      <c r="L117" s="2"/>
      <c r="M117" s="947">
        <f>SUM(M112:N113)+J116</f>
        <v>1359500</v>
      </c>
      <c r="N117" s="967"/>
      <c r="O117" s="934" t="s">
        <v>362</v>
      </c>
      <c r="P117" s="943">
        <f>SUM(P110:P116)</f>
        <v>1771624</v>
      </c>
      <c r="Q117" s="950"/>
      <c r="R117" s="950"/>
    </row>
    <row r="118">
      <c r="I118" s="934" t="s">
        <v>963</v>
      </c>
      <c r="J118" s="955">
        <v>0.09</v>
      </c>
      <c r="K118" s="926"/>
      <c r="L118" s="926"/>
      <c r="M118" s="926"/>
      <c r="N118" s="926"/>
      <c r="O118" s="926"/>
      <c r="P118" s="926"/>
      <c r="Q118" s="926"/>
      <c r="R118" s="926"/>
    </row>
    <row r="119">
      <c r="I119" s="972" t="s">
        <v>966</v>
      </c>
      <c r="J119" s="976">
        <v>0.035</v>
      </c>
      <c r="K119" s="926"/>
      <c r="L119" s="926"/>
      <c r="M119" s="926"/>
      <c r="N119" s="926"/>
      <c r="O119" s="926"/>
      <c r="P119" s="926"/>
      <c r="Q119" s="926"/>
      <c r="R119" s="926"/>
    </row>
    <row r="121">
      <c r="I121" s="927" t="s">
        <v>927</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929</v>
      </c>
      <c r="J122" s="935">
        <f>DAY(EOMONTH(J121,0))</f>
        <v>31</v>
      </c>
      <c r="K122" s="936" t="s">
        <v>930</v>
      </c>
      <c r="L122" s="936" t="s">
        <v>293</v>
      </c>
      <c r="M122" s="936" t="s">
        <v>931</v>
      </c>
      <c r="N122" s="936" t="s">
        <v>932</v>
      </c>
      <c r="O122" s="936" t="s">
        <v>933</v>
      </c>
      <c r="P122" s="936" t="s">
        <v>934</v>
      </c>
      <c r="Q122" s="934" t="s">
        <v>935</v>
      </c>
      <c r="R122" s="937">
        <v>1780.0</v>
      </c>
    </row>
    <row r="123">
      <c r="I123" s="934" t="s">
        <v>293</v>
      </c>
      <c r="J123" s="942">
        <f t="array" ref="J123">xlookup(K121,$B$3:$B$14,$C$3:$C$14)*100</f>
        <v>0</v>
      </c>
      <c r="K123" s="943">
        <f>SUM(M123:O123)</f>
        <v>312</v>
      </c>
      <c r="L123" s="943">
        <v>100.0</v>
      </c>
      <c r="M123" s="937">
        <v>312.0</v>
      </c>
      <c r="N123" s="944"/>
      <c r="O123" s="944"/>
      <c r="P123" s="943">
        <f>K123*J122</f>
        <v>9672</v>
      </c>
      <c r="Q123" s="945" t="s">
        <v>936</v>
      </c>
      <c r="R123" s="943">
        <f>P137</f>
        <v>1771624</v>
      </c>
    </row>
    <row r="124">
      <c r="I124" s="934" t="s">
        <v>937</v>
      </c>
      <c r="J124" s="937">
        <v>320000.0</v>
      </c>
      <c r="K124" s="943">
        <f>K123*L124%</f>
        <v>0</v>
      </c>
      <c r="L124" s="947">
        <f>J123</f>
        <v>0</v>
      </c>
      <c r="M124" s="943">
        <f>M123*L124%</f>
        <v>0</v>
      </c>
      <c r="N124" s="943">
        <f>N123*L124%</f>
        <v>0</v>
      </c>
      <c r="O124" s="943">
        <f>O123*L124%</f>
        <v>0</v>
      </c>
      <c r="P124" s="943">
        <f>K124*J122</f>
        <v>0</v>
      </c>
      <c r="Q124" s="934" t="s">
        <v>294</v>
      </c>
      <c r="R124" s="943">
        <f>R122*P124+R123</f>
        <v>1771624</v>
      </c>
    </row>
    <row r="125">
      <c r="I125" s="934" t="s">
        <v>938</v>
      </c>
      <c r="J125" s="977">
        <v>810000.0</v>
      </c>
      <c r="K125" s="949" t="s">
        <v>939</v>
      </c>
      <c r="L125" s="2"/>
      <c r="M125" s="937">
        <v>45.0</v>
      </c>
      <c r="N125" s="937">
        <v>23.0</v>
      </c>
      <c r="O125" s="937">
        <v>23.0</v>
      </c>
      <c r="P125" s="950"/>
      <c r="Q125" s="934" t="s">
        <v>940</v>
      </c>
      <c r="R125" s="943">
        <f>M130+SUM(M134:N136)</f>
        <v>2267092</v>
      </c>
    </row>
    <row r="126">
      <c r="I126" s="952" t="s">
        <v>941</v>
      </c>
      <c r="J126" s="953">
        <v>1300.0</v>
      </c>
      <c r="K126" s="954" t="s">
        <v>942</v>
      </c>
      <c r="L126" s="2"/>
      <c r="M126" s="943">
        <f t="shared" ref="M126:O126" si="40">M124/(360/M125)</f>
        <v>0</v>
      </c>
      <c r="N126" s="943">
        <f t="shared" si="40"/>
        <v>0</v>
      </c>
      <c r="O126" s="943">
        <f t="shared" si="40"/>
        <v>0</v>
      </c>
      <c r="P126" s="943">
        <f t="shared" ref="P126:P127" si="41">M126+N126+O126</f>
        <v>0</v>
      </c>
      <c r="Q126" s="934" t="s">
        <v>292</v>
      </c>
      <c r="R126" s="955">
        <f>R125/R124</f>
        <v>1.279668824</v>
      </c>
    </row>
    <row r="127">
      <c r="I127" s="957" t="s">
        <v>943</v>
      </c>
      <c r="J127" s="953">
        <v>6.0</v>
      </c>
      <c r="K127" s="958" t="s">
        <v>944</v>
      </c>
      <c r="L127" s="937">
        <v>1140.0</v>
      </c>
      <c r="M127" s="943">
        <f>M126*(L127*6)</f>
        <v>0</v>
      </c>
      <c r="N127" s="943">
        <f>N126*(L127*6)</f>
        <v>0</v>
      </c>
      <c r="O127" s="943">
        <f>O126*(L127*6)</f>
        <v>0</v>
      </c>
      <c r="P127" s="943">
        <f t="shared" si="41"/>
        <v>0</v>
      </c>
      <c r="Q127" s="934" t="s">
        <v>945</v>
      </c>
      <c r="R127" s="943">
        <f>R124-R125-M137</f>
        <v>-1854968</v>
      </c>
    </row>
    <row r="128">
      <c r="I128" s="959" t="s">
        <v>946</v>
      </c>
      <c r="J128" s="944"/>
      <c r="K128" s="960"/>
      <c r="L128" s="950"/>
      <c r="M128" s="950"/>
      <c r="N128" s="950"/>
      <c r="O128" s="950"/>
      <c r="P128" s="950"/>
      <c r="Q128" s="934" t="s">
        <v>291</v>
      </c>
      <c r="R128" s="955">
        <f>R127/R124</f>
        <v>-1.047043842</v>
      </c>
    </row>
    <row r="129">
      <c r="I129" s="952" t="s">
        <v>947</v>
      </c>
      <c r="J129" s="953">
        <v>1200.0</v>
      </c>
      <c r="K129" s="954" t="s">
        <v>948</v>
      </c>
      <c r="L129" s="2"/>
      <c r="M129" s="943">
        <f>P127+(P126*J135)</f>
        <v>0</v>
      </c>
      <c r="N129" s="950"/>
      <c r="O129" s="961" t="s">
        <v>949</v>
      </c>
      <c r="P129" s="945" t="s">
        <v>950</v>
      </c>
      <c r="Q129" s="950"/>
      <c r="R129" s="950"/>
    </row>
    <row r="130">
      <c r="I130" s="963" t="s">
        <v>951</v>
      </c>
      <c r="J130" s="953">
        <v>6.0</v>
      </c>
      <c r="K130" s="954" t="s">
        <v>952</v>
      </c>
      <c r="L130" s="2"/>
      <c r="M130" s="943">
        <f>M129*J122+(K123*J138*J122*150)</f>
        <v>130572</v>
      </c>
      <c r="N130" s="964"/>
      <c r="O130" s="965" t="s">
        <v>384</v>
      </c>
      <c r="P130" s="966">
        <v>413440.0</v>
      </c>
      <c r="Q130" s="950"/>
      <c r="R130" s="967"/>
    </row>
    <row r="131">
      <c r="I131" s="963" t="s">
        <v>953</v>
      </c>
      <c r="J131" s="953">
        <f>J122</f>
        <v>31</v>
      </c>
      <c r="K131" s="954" t="s">
        <v>954</v>
      </c>
      <c r="L131" s="2"/>
      <c r="M131" s="934" t="s">
        <v>392</v>
      </c>
      <c r="N131" s="959" t="s">
        <v>366</v>
      </c>
      <c r="O131" s="965" t="s">
        <v>380</v>
      </c>
      <c r="P131" s="966">
        <v>93600.0</v>
      </c>
      <c r="Q131" s="950"/>
      <c r="R131" s="950"/>
    </row>
    <row r="132">
      <c r="I132" s="952" t="s">
        <v>955</v>
      </c>
      <c r="J132" s="953">
        <v>1300.0</v>
      </c>
      <c r="K132" s="954" t="s">
        <v>956</v>
      </c>
      <c r="L132" s="2"/>
      <c r="M132" s="947">
        <f t="shared" ref="M132:M133" si="42">J124*1.15</f>
        <v>368000</v>
      </c>
      <c r="N132" s="968">
        <v>15000.0</v>
      </c>
      <c r="O132" s="965" t="s">
        <v>957</v>
      </c>
      <c r="P132" s="966">
        <v>345000.0</v>
      </c>
      <c r="Q132" s="950"/>
      <c r="R132" s="950"/>
    </row>
    <row r="133">
      <c r="I133" s="952" t="s">
        <v>958</v>
      </c>
      <c r="J133" s="953">
        <v>6.0</v>
      </c>
      <c r="K133" s="954" t="s">
        <v>959</v>
      </c>
      <c r="L133" s="2"/>
      <c r="M133" s="947">
        <f t="shared" si="42"/>
        <v>931500</v>
      </c>
      <c r="N133" s="947">
        <v>45000.0</v>
      </c>
      <c r="O133" s="969" t="s">
        <v>960</v>
      </c>
      <c r="P133" s="937">
        <f>K123*J137*J122*200</f>
        <v>193440</v>
      </c>
      <c r="Q133" s="950"/>
      <c r="R133" s="950"/>
    </row>
    <row r="134">
      <c r="I134" s="952" t="s">
        <v>961</v>
      </c>
      <c r="J134" s="953">
        <v>21.7</v>
      </c>
      <c r="K134" s="970" t="s">
        <v>962</v>
      </c>
      <c r="L134" s="2"/>
      <c r="M134" s="947">
        <f>(9*J122-21.7*4)*J126*J127</f>
        <v>1499160</v>
      </c>
      <c r="N134" s="947">
        <f>(9*J122-21.7*4)*J135</f>
        <v>192200</v>
      </c>
      <c r="O134" s="965" t="s">
        <v>963</v>
      </c>
      <c r="P134" s="937">
        <f t="shared" ref="P134:P135" si="43">K123*J138*J122*300</f>
        <v>261144</v>
      </c>
      <c r="Q134" s="950"/>
      <c r="R134" s="971"/>
    </row>
    <row r="135">
      <c r="I135" s="972" t="s">
        <v>964</v>
      </c>
      <c r="J135" s="973">
        <v>1000.0</v>
      </c>
      <c r="K135" s="949" t="s">
        <v>965</v>
      </c>
      <c r="L135" s="2"/>
      <c r="M135" s="947">
        <f>J129*J130*J131</f>
        <v>223200</v>
      </c>
      <c r="N135" s="947">
        <f>J131*J135</f>
        <v>31000</v>
      </c>
      <c r="O135" s="965" t="s">
        <v>966</v>
      </c>
      <c r="P135" s="937">
        <f t="shared" si="43"/>
        <v>0</v>
      </c>
      <c r="Q135" s="950"/>
      <c r="R135" s="950"/>
    </row>
    <row r="136">
      <c r="I136" s="972" t="s">
        <v>967</v>
      </c>
      <c r="J136" s="950"/>
      <c r="K136" s="949" t="s">
        <v>971</v>
      </c>
      <c r="L136" s="2"/>
      <c r="M136" s="947">
        <f>J132*J133*J134</f>
        <v>169260</v>
      </c>
      <c r="N136" s="947">
        <f>J134*J135</f>
        <v>21700</v>
      </c>
      <c r="O136" s="934" t="s">
        <v>969</v>
      </c>
      <c r="P136" s="943">
        <v>465000.0</v>
      </c>
      <c r="Q136" s="950"/>
      <c r="R136" s="971"/>
    </row>
    <row r="137">
      <c r="I137" s="934" t="s">
        <v>960</v>
      </c>
      <c r="J137" s="975">
        <v>0.1</v>
      </c>
      <c r="K137" s="954" t="s">
        <v>970</v>
      </c>
      <c r="L137" s="2"/>
      <c r="M137" s="947">
        <f>SUM(M132:N133)+J136</f>
        <v>1359500</v>
      </c>
      <c r="N137" s="967"/>
      <c r="O137" s="934" t="s">
        <v>362</v>
      </c>
      <c r="P137" s="943">
        <f>SUM(P130:P136)</f>
        <v>1771624</v>
      </c>
      <c r="Q137" s="950"/>
      <c r="R137" s="950"/>
    </row>
    <row r="138">
      <c r="I138" s="934" t="s">
        <v>963</v>
      </c>
      <c r="J138" s="955">
        <v>0.09</v>
      </c>
      <c r="K138" s="926"/>
      <c r="L138" s="926"/>
      <c r="M138" s="926"/>
      <c r="N138" s="926"/>
      <c r="O138" s="926"/>
      <c r="P138" s="926"/>
      <c r="Q138" s="926"/>
      <c r="R138" s="926"/>
    </row>
    <row r="139">
      <c r="I139" s="972" t="s">
        <v>966</v>
      </c>
      <c r="J139" s="976">
        <v>0.035</v>
      </c>
      <c r="K139" s="926"/>
      <c r="L139" s="926"/>
      <c r="M139" s="926"/>
      <c r="N139" s="926"/>
      <c r="O139" s="926"/>
      <c r="P139" s="926"/>
      <c r="Q139" s="926"/>
      <c r="R139" s="926"/>
    </row>
    <row r="141">
      <c r="I141" s="927" t="s">
        <v>927</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929</v>
      </c>
      <c r="J142" s="935">
        <f>DAY(EOMONTH(J141,0))</f>
        <v>30</v>
      </c>
      <c r="K142" s="936" t="s">
        <v>930</v>
      </c>
      <c r="L142" s="936" t="s">
        <v>293</v>
      </c>
      <c r="M142" s="936" t="s">
        <v>931</v>
      </c>
      <c r="N142" s="936" t="s">
        <v>932</v>
      </c>
      <c r="O142" s="936" t="s">
        <v>933</v>
      </c>
      <c r="P142" s="936" t="s">
        <v>934</v>
      </c>
      <c r="Q142" s="934" t="s">
        <v>935</v>
      </c>
      <c r="R142" s="937">
        <v>1780.0</v>
      </c>
    </row>
    <row r="143">
      <c r="I143" s="934" t="s">
        <v>293</v>
      </c>
      <c r="J143" s="942">
        <f t="array" ref="J143">xlookup(K141,$B$3:$B$14,$C$3:$C$14)*100</f>
        <v>0</v>
      </c>
      <c r="K143" s="943">
        <f>SUM(M143:O143)</f>
        <v>312</v>
      </c>
      <c r="L143" s="943">
        <v>100.0</v>
      </c>
      <c r="M143" s="937">
        <v>312.0</v>
      </c>
      <c r="N143" s="944"/>
      <c r="O143" s="944"/>
      <c r="P143" s="943">
        <f>K143*J142</f>
        <v>9360</v>
      </c>
      <c r="Q143" s="945" t="s">
        <v>936</v>
      </c>
      <c r="R143" s="943">
        <f>P157</f>
        <v>1756960</v>
      </c>
    </row>
    <row r="144">
      <c r="I144" s="934" t="s">
        <v>937</v>
      </c>
      <c r="J144" s="937">
        <v>320000.0</v>
      </c>
      <c r="K144" s="943">
        <f>K143*L144%</f>
        <v>0</v>
      </c>
      <c r="L144" s="947">
        <f>J143</f>
        <v>0</v>
      </c>
      <c r="M144" s="943">
        <f>M143*L144%</f>
        <v>0</v>
      </c>
      <c r="N144" s="943">
        <f>N143*L144%</f>
        <v>0</v>
      </c>
      <c r="O144" s="943">
        <f>O143*L144%</f>
        <v>0</v>
      </c>
      <c r="P144" s="943">
        <f>K144*J142</f>
        <v>0</v>
      </c>
      <c r="Q144" s="934" t="s">
        <v>294</v>
      </c>
      <c r="R144" s="943">
        <f>R142*P144+R143</f>
        <v>1756960</v>
      </c>
    </row>
    <row r="145">
      <c r="I145" s="934" t="s">
        <v>938</v>
      </c>
      <c r="J145" s="977">
        <v>810000.0</v>
      </c>
      <c r="K145" s="949" t="s">
        <v>939</v>
      </c>
      <c r="L145" s="2"/>
      <c r="M145" s="937">
        <v>45.0</v>
      </c>
      <c r="N145" s="937">
        <v>23.0</v>
      </c>
      <c r="O145" s="937">
        <v>23.0</v>
      </c>
      <c r="P145" s="950"/>
      <c r="Q145" s="934" t="s">
        <v>940</v>
      </c>
      <c r="R145" s="943">
        <f>M150+SUM(M154:N156)</f>
        <v>2175480</v>
      </c>
    </row>
    <row r="146">
      <c r="I146" s="952" t="s">
        <v>941</v>
      </c>
      <c r="J146" s="953">
        <v>1300.0</v>
      </c>
      <c r="K146" s="954" t="s">
        <v>942</v>
      </c>
      <c r="L146" s="2"/>
      <c r="M146" s="943">
        <f t="shared" ref="M146:O146" si="44">M144/(360/M145)</f>
        <v>0</v>
      </c>
      <c r="N146" s="943">
        <f t="shared" si="44"/>
        <v>0</v>
      </c>
      <c r="O146" s="943">
        <f t="shared" si="44"/>
        <v>0</v>
      </c>
      <c r="P146" s="943">
        <f t="shared" ref="P146:P147" si="45">M146+N146+O146</f>
        <v>0</v>
      </c>
      <c r="Q146" s="934" t="s">
        <v>292</v>
      </c>
      <c r="R146" s="955">
        <f>R145/R144</f>
        <v>1.238206903</v>
      </c>
    </row>
    <row r="147">
      <c r="I147" s="957" t="s">
        <v>943</v>
      </c>
      <c r="J147" s="953">
        <v>6.0</v>
      </c>
      <c r="K147" s="958" t="s">
        <v>944</v>
      </c>
      <c r="L147" s="937">
        <v>1140.0</v>
      </c>
      <c r="M147" s="943">
        <f>M146*(L147*6)</f>
        <v>0</v>
      </c>
      <c r="N147" s="943">
        <f>N146*(L147*6)</f>
        <v>0</v>
      </c>
      <c r="O147" s="943">
        <f>O146*(L147*6)</f>
        <v>0</v>
      </c>
      <c r="P147" s="943">
        <f t="shared" si="45"/>
        <v>0</v>
      </c>
      <c r="Q147" s="934" t="s">
        <v>945</v>
      </c>
      <c r="R147" s="943">
        <f>R144-R145-M157</f>
        <v>-1778020</v>
      </c>
    </row>
    <row r="148">
      <c r="I148" s="959" t="s">
        <v>946</v>
      </c>
      <c r="J148" s="944"/>
      <c r="K148" s="960"/>
      <c r="L148" s="950"/>
      <c r="M148" s="950"/>
      <c r="N148" s="950"/>
      <c r="O148" s="950"/>
      <c r="P148" s="950"/>
      <c r="Q148" s="934" t="s">
        <v>291</v>
      </c>
      <c r="R148" s="955">
        <f>R147/R144</f>
        <v>-1.011986613</v>
      </c>
    </row>
    <row r="149">
      <c r="I149" s="952" t="s">
        <v>947</v>
      </c>
      <c r="J149" s="953">
        <v>1200.0</v>
      </c>
      <c r="K149" s="954" t="s">
        <v>948</v>
      </c>
      <c r="L149" s="2"/>
      <c r="M149" s="943">
        <f>P147+(P146*J155)</f>
        <v>0</v>
      </c>
      <c r="N149" s="950"/>
      <c r="O149" s="961" t="s">
        <v>949</v>
      </c>
      <c r="P149" s="945" t="s">
        <v>950</v>
      </c>
      <c r="Q149" s="950"/>
      <c r="R149" s="950"/>
    </row>
    <row r="150">
      <c r="I150" s="963" t="s">
        <v>951</v>
      </c>
      <c r="J150" s="953">
        <v>6.0</v>
      </c>
      <c r="K150" s="954" t="s">
        <v>952</v>
      </c>
      <c r="L150" s="2"/>
      <c r="M150" s="943">
        <f>M149*J142+(K143*J158*J142*150)</f>
        <v>126360</v>
      </c>
      <c r="N150" s="964"/>
      <c r="O150" s="965" t="s">
        <v>384</v>
      </c>
      <c r="P150" s="966">
        <v>413440.0</v>
      </c>
      <c r="Q150" s="950"/>
      <c r="R150" s="967"/>
    </row>
    <row r="151">
      <c r="I151" s="963" t="s">
        <v>953</v>
      </c>
      <c r="J151" s="953">
        <f>J142</f>
        <v>30</v>
      </c>
      <c r="K151" s="954" t="s">
        <v>954</v>
      </c>
      <c r="L151" s="2"/>
      <c r="M151" s="934" t="s">
        <v>392</v>
      </c>
      <c r="N151" s="959" t="s">
        <v>366</v>
      </c>
      <c r="O151" s="965" t="s">
        <v>380</v>
      </c>
      <c r="P151" s="966">
        <v>93600.0</v>
      </c>
      <c r="Q151" s="950"/>
      <c r="R151" s="950"/>
    </row>
    <row r="152">
      <c r="I152" s="952" t="s">
        <v>955</v>
      </c>
      <c r="J152" s="953">
        <v>1300.0</v>
      </c>
      <c r="K152" s="954" t="s">
        <v>956</v>
      </c>
      <c r="L152" s="2"/>
      <c r="M152" s="947">
        <f t="shared" ref="M152:M153" si="46">J144*1.15</f>
        <v>368000</v>
      </c>
      <c r="N152" s="968">
        <v>15000.0</v>
      </c>
      <c r="O152" s="965" t="s">
        <v>957</v>
      </c>
      <c r="P152" s="966">
        <v>345000.0</v>
      </c>
      <c r="Q152" s="950"/>
      <c r="R152" s="950"/>
    </row>
    <row r="153">
      <c r="I153" s="952" t="s">
        <v>958</v>
      </c>
      <c r="J153" s="953">
        <v>6.0</v>
      </c>
      <c r="K153" s="954" t="s">
        <v>959</v>
      </c>
      <c r="L153" s="2"/>
      <c r="M153" s="947">
        <f t="shared" si="46"/>
        <v>931500</v>
      </c>
      <c r="N153" s="947">
        <v>45000.0</v>
      </c>
      <c r="O153" s="969" t="s">
        <v>960</v>
      </c>
      <c r="P153" s="937">
        <f>K143*J157*J142*200</f>
        <v>187200</v>
      </c>
      <c r="Q153" s="950"/>
      <c r="R153" s="950"/>
    </row>
    <row r="154">
      <c r="I154" s="952" t="s">
        <v>961</v>
      </c>
      <c r="J154" s="953">
        <v>21.7</v>
      </c>
      <c r="K154" s="970" t="s">
        <v>962</v>
      </c>
      <c r="L154" s="2"/>
      <c r="M154" s="947">
        <f>(9*J142-21.7*4)*J146*J147</f>
        <v>1428960</v>
      </c>
      <c r="N154" s="947">
        <f>(9*J142-21.7*4)*J155</f>
        <v>183200</v>
      </c>
      <c r="O154" s="965" t="s">
        <v>963</v>
      </c>
      <c r="P154" s="937">
        <f t="shared" ref="P154:P155" si="47">K143*J158*J142*300</f>
        <v>252720</v>
      </c>
      <c r="Q154" s="950"/>
      <c r="R154" s="971"/>
    </row>
    <row r="155">
      <c r="I155" s="972" t="s">
        <v>964</v>
      </c>
      <c r="J155" s="973">
        <v>1000.0</v>
      </c>
      <c r="K155" s="949" t="s">
        <v>965</v>
      </c>
      <c r="L155" s="2"/>
      <c r="M155" s="947">
        <f>J149*J150*J151</f>
        <v>216000</v>
      </c>
      <c r="N155" s="947">
        <f>J151*J155</f>
        <v>30000</v>
      </c>
      <c r="O155" s="965" t="s">
        <v>966</v>
      </c>
      <c r="P155" s="937">
        <f t="shared" si="47"/>
        <v>0</v>
      </c>
      <c r="Q155" s="950"/>
      <c r="R155" s="950"/>
    </row>
    <row r="156">
      <c r="I156" s="972" t="s">
        <v>967</v>
      </c>
      <c r="J156" s="950"/>
      <c r="K156" s="949" t="s">
        <v>971</v>
      </c>
      <c r="L156" s="2"/>
      <c r="M156" s="947">
        <f>J152*J153*J154</f>
        <v>169260</v>
      </c>
      <c r="N156" s="947">
        <f>J154*J155</f>
        <v>21700</v>
      </c>
      <c r="O156" s="934" t="s">
        <v>969</v>
      </c>
      <c r="P156" s="943">
        <v>465000.0</v>
      </c>
      <c r="Q156" s="950"/>
      <c r="R156" s="971"/>
    </row>
    <row r="157">
      <c r="I157" s="934" t="s">
        <v>960</v>
      </c>
      <c r="J157" s="975">
        <v>0.1</v>
      </c>
      <c r="K157" s="954" t="s">
        <v>970</v>
      </c>
      <c r="L157" s="2"/>
      <c r="M157" s="947">
        <f>SUM(M152:N153)+J156</f>
        <v>1359500</v>
      </c>
      <c r="N157" s="967"/>
      <c r="O157" s="934" t="s">
        <v>362</v>
      </c>
      <c r="P157" s="943">
        <f>SUM(P150:P156)</f>
        <v>1756960</v>
      </c>
      <c r="Q157" s="950"/>
      <c r="R157" s="950"/>
    </row>
    <row r="158">
      <c r="I158" s="934" t="s">
        <v>963</v>
      </c>
      <c r="J158" s="955">
        <v>0.09</v>
      </c>
      <c r="K158" s="926"/>
      <c r="L158" s="926"/>
      <c r="M158" s="926"/>
      <c r="N158" s="926"/>
      <c r="O158" s="926"/>
      <c r="P158" s="926"/>
      <c r="Q158" s="926"/>
      <c r="R158" s="926"/>
    </row>
    <row r="159">
      <c r="I159" s="972" t="s">
        <v>966</v>
      </c>
      <c r="J159" s="976">
        <v>0.035</v>
      </c>
      <c r="K159" s="926"/>
      <c r="L159" s="926"/>
      <c r="M159" s="926"/>
      <c r="N159" s="926"/>
      <c r="O159" s="926"/>
      <c r="P159" s="926"/>
      <c r="Q159" s="926"/>
      <c r="R159" s="926"/>
    </row>
    <row r="161">
      <c r="I161" s="927" t="s">
        <v>927</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929</v>
      </c>
      <c r="J162" s="935">
        <f>DAY(EOMONTH(J161,0))</f>
        <v>31</v>
      </c>
      <c r="K162" s="936" t="s">
        <v>930</v>
      </c>
      <c r="L162" s="936" t="s">
        <v>293</v>
      </c>
      <c r="M162" s="936" t="s">
        <v>931</v>
      </c>
      <c r="N162" s="936" t="s">
        <v>932</v>
      </c>
      <c r="O162" s="936" t="s">
        <v>933</v>
      </c>
      <c r="P162" s="936" t="s">
        <v>934</v>
      </c>
      <c r="Q162" s="934" t="s">
        <v>935</v>
      </c>
      <c r="R162" s="937">
        <v>1780.0</v>
      </c>
    </row>
    <row r="163">
      <c r="I163" s="934" t="s">
        <v>293</v>
      </c>
      <c r="J163" s="942">
        <f t="array" ref="J163">xlookup(K161,$B$3:$B$14,$C$3:$C$14)*100</f>
        <v>0</v>
      </c>
      <c r="K163" s="943">
        <f>SUM(M163:O163)</f>
        <v>312</v>
      </c>
      <c r="L163" s="943">
        <v>100.0</v>
      </c>
      <c r="M163" s="937">
        <v>312.0</v>
      </c>
      <c r="N163" s="944"/>
      <c r="O163" s="944"/>
      <c r="P163" s="943">
        <f>K163*J162</f>
        <v>9672</v>
      </c>
      <c r="Q163" s="945" t="s">
        <v>936</v>
      </c>
      <c r="R163" s="943">
        <f>P177</f>
        <v>1771624</v>
      </c>
    </row>
    <row r="164">
      <c r="I164" s="934" t="s">
        <v>937</v>
      </c>
      <c r="J164" s="937">
        <v>320000.0</v>
      </c>
      <c r="K164" s="943">
        <f>K163*L164%</f>
        <v>0</v>
      </c>
      <c r="L164" s="947">
        <f>J163</f>
        <v>0</v>
      </c>
      <c r="M164" s="943">
        <f>M163*L164%</f>
        <v>0</v>
      </c>
      <c r="N164" s="943">
        <f>N163*L164%</f>
        <v>0</v>
      </c>
      <c r="O164" s="943">
        <f>O163*L164%</f>
        <v>0</v>
      </c>
      <c r="P164" s="943">
        <f>K164*J162</f>
        <v>0</v>
      </c>
      <c r="Q164" s="934" t="s">
        <v>294</v>
      </c>
      <c r="R164" s="943">
        <f>R162*P164+R163</f>
        <v>1771624</v>
      </c>
    </row>
    <row r="165">
      <c r="I165" s="934" t="s">
        <v>938</v>
      </c>
      <c r="J165" s="977">
        <v>810000.0</v>
      </c>
      <c r="K165" s="949" t="s">
        <v>939</v>
      </c>
      <c r="L165" s="2"/>
      <c r="M165" s="937">
        <v>45.0</v>
      </c>
      <c r="N165" s="937">
        <v>23.0</v>
      </c>
      <c r="O165" s="937">
        <v>23.0</v>
      </c>
      <c r="P165" s="950"/>
      <c r="Q165" s="934" t="s">
        <v>940</v>
      </c>
      <c r="R165" s="943">
        <f>M170+SUM(M174:N176)</f>
        <v>2267092</v>
      </c>
    </row>
    <row r="166">
      <c r="I166" s="952" t="s">
        <v>941</v>
      </c>
      <c r="J166" s="953">
        <v>1300.0</v>
      </c>
      <c r="K166" s="954" t="s">
        <v>942</v>
      </c>
      <c r="L166" s="2"/>
      <c r="M166" s="943">
        <f t="shared" ref="M166:O166" si="48">M164/(360/M165)</f>
        <v>0</v>
      </c>
      <c r="N166" s="943">
        <f t="shared" si="48"/>
        <v>0</v>
      </c>
      <c r="O166" s="943">
        <f t="shared" si="48"/>
        <v>0</v>
      </c>
      <c r="P166" s="943">
        <f t="shared" ref="P166:P167" si="49">M166+N166+O166</f>
        <v>0</v>
      </c>
      <c r="Q166" s="934" t="s">
        <v>292</v>
      </c>
      <c r="R166" s="955">
        <f>R165/R164</f>
        <v>1.279668824</v>
      </c>
    </row>
    <row r="167">
      <c r="I167" s="957" t="s">
        <v>943</v>
      </c>
      <c r="J167" s="953">
        <v>6.0</v>
      </c>
      <c r="K167" s="958" t="s">
        <v>944</v>
      </c>
      <c r="L167" s="937">
        <v>1140.0</v>
      </c>
      <c r="M167" s="943">
        <f>M166*(L167*6)</f>
        <v>0</v>
      </c>
      <c r="N167" s="943">
        <f>N166*(L167*6)</f>
        <v>0</v>
      </c>
      <c r="O167" s="943">
        <f>O166*(L167*6)</f>
        <v>0</v>
      </c>
      <c r="P167" s="943">
        <f t="shared" si="49"/>
        <v>0</v>
      </c>
      <c r="Q167" s="934" t="s">
        <v>945</v>
      </c>
      <c r="R167" s="943">
        <f>R164-R165-M177</f>
        <v>-1854968</v>
      </c>
    </row>
    <row r="168">
      <c r="I168" s="959" t="s">
        <v>946</v>
      </c>
      <c r="J168" s="944"/>
      <c r="K168" s="960"/>
      <c r="L168" s="950"/>
      <c r="M168" s="950"/>
      <c r="N168" s="950"/>
      <c r="O168" s="950"/>
      <c r="P168" s="950"/>
      <c r="Q168" s="934" t="s">
        <v>291</v>
      </c>
      <c r="R168" s="955">
        <f>R167/R164</f>
        <v>-1.047043842</v>
      </c>
    </row>
    <row r="169">
      <c r="I169" s="952" t="s">
        <v>947</v>
      </c>
      <c r="J169" s="953">
        <v>1200.0</v>
      </c>
      <c r="K169" s="954" t="s">
        <v>948</v>
      </c>
      <c r="L169" s="2"/>
      <c r="M169" s="943">
        <f>P167+(P166*J175)</f>
        <v>0</v>
      </c>
      <c r="N169" s="950"/>
      <c r="O169" s="961" t="s">
        <v>949</v>
      </c>
      <c r="P169" s="945" t="s">
        <v>950</v>
      </c>
      <c r="Q169" s="950"/>
      <c r="R169" s="950"/>
    </row>
    <row r="170">
      <c r="I170" s="963" t="s">
        <v>951</v>
      </c>
      <c r="J170" s="953">
        <v>6.0</v>
      </c>
      <c r="K170" s="954" t="s">
        <v>952</v>
      </c>
      <c r="L170" s="2"/>
      <c r="M170" s="943">
        <f>M169*J162+(K163*J178*J162*150)</f>
        <v>130572</v>
      </c>
      <c r="N170" s="964"/>
      <c r="O170" s="965" t="s">
        <v>384</v>
      </c>
      <c r="P170" s="966">
        <v>413440.0</v>
      </c>
      <c r="Q170" s="950"/>
      <c r="R170" s="967"/>
    </row>
    <row r="171">
      <c r="I171" s="963" t="s">
        <v>953</v>
      </c>
      <c r="J171" s="953">
        <f>J162</f>
        <v>31</v>
      </c>
      <c r="K171" s="954" t="s">
        <v>954</v>
      </c>
      <c r="L171" s="2"/>
      <c r="M171" s="934" t="s">
        <v>392</v>
      </c>
      <c r="N171" s="959" t="s">
        <v>366</v>
      </c>
      <c r="O171" s="965" t="s">
        <v>380</v>
      </c>
      <c r="P171" s="966">
        <v>93600.0</v>
      </c>
      <c r="Q171" s="950"/>
      <c r="R171" s="950"/>
    </row>
    <row r="172">
      <c r="I172" s="952" t="s">
        <v>955</v>
      </c>
      <c r="J172" s="953">
        <v>1300.0</v>
      </c>
      <c r="K172" s="954" t="s">
        <v>956</v>
      </c>
      <c r="L172" s="2"/>
      <c r="M172" s="947">
        <f t="shared" ref="M172:M173" si="50">J164*1.15</f>
        <v>368000</v>
      </c>
      <c r="N172" s="968">
        <v>15000.0</v>
      </c>
      <c r="O172" s="965" t="s">
        <v>957</v>
      </c>
      <c r="P172" s="966">
        <v>345000.0</v>
      </c>
      <c r="Q172" s="950"/>
      <c r="R172" s="950"/>
    </row>
    <row r="173">
      <c r="I173" s="952" t="s">
        <v>958</v>
      </c>
      <c r="J173" s="953">
        <v>6.0</v>
      </c>
      <c r="K173" s="954" t="s">
        <v>959</v>
      </c>
      <c r="L173" s="2"/>
      <c r="M173" s="947">
        <f t="shared" si="50"/>
        <v>931500</v>
      </c>
      <c r="N173" s="947">
        <v>45000.0</v>
      </c>
      <c r="O173" s="969" t="s">
        <v>960</v>
      </c>
      <c r="P173" s="937">
        <f>K163*J177*J162*200</f>
        <v>193440</v>
      </c>
      <c r="Q173" s="950"/>
      <c r="R173" s="950"/>
    </row>
    <row r="174">
      <c r="I174" s="952" t="s">
        <v>961</v>
      </c>
      <c r="J174" s="953">
        <v>21.7</v>
      </c>
      <c r="K174" s="970" t="s">
        <v>962</v>
      </c>
      <c r="L174" s="2"/>
      <c r="M174" s="947">
        <f>(9*J162-21.7*4)*J166*J167</f>
        <v>1499160</v>
      </c>
      <c r="N174" s="947">
        <f>(9*J162-21.7*4)*J175</f>
        <v>192200</v>
      </c>
      <c r="O174" s="965" t="s">
        <v>963</v>
      </c>
      <c r="P174" s="937">
        <f t="shared" ref="P174:P175" si="51">K163*J178*J162*300</f>
        <v>261144</v>
      </c>
      <c r="Q174" s="950"/>
      <c r="R174" s="971"/>
    </row>
    <row r="175">
      <c r="I175" s="972" t="s">
        <v>964</v>
      </c>
      <c r="J175" s="973">
        <v>1000.0</v>
      </c>
      <c r="K175" s="949" t="s">
        <v>965</v>
      </c>
      <c r="L175" s="2"/>
      <c r="M175" s="947">
        <f>J169*J170*J171</f>
        <v>223200</v>
      </c>
      <c r="N175" s="947">
        <f>J171*J175</f>
        <v>31000</v>
      </c>
      <c r="O175" s="965" t="s">
        <v>966</v>
      </c>
      <c r="P175" s="937">
        <f t="shared" si="51"/>
        <v>0</v>
      </c>
      <c r="Q175" s="950"/>
      <c r="R175" s="950"/>
    </row>
    <row r="176">
      <c r="I176" s="972" t="s">
        <v>967</v>
      </c>
      <c r="J176" s="950"/>
      <c r="K176" s="949" t="s">
        <v>971</v>
      </c>
      <c r="L176" s="2"/>
      <c r="M176" s="947">
        <f>J172*J173*J174</f>
        <v>169260</v>
      </c>
      <c r="N176" s="947">
        <f>J174*J175</f>
        <v>21700</v>
      </c>
      <c r="O176" s="934" t="s">
        <v>969</v>
      </c>
      <c r="P176" s="943">
        <v>465000.0</v>
      </c>
      <c r="Q176" s="950"/>
      <c r="R176" s="971"/>
    </row>
    <row r="177">
      <c r="I177" s="934" t="s">
        <v>960</v>
      </c>
      <c r="J177" s="975">
        <v>0.1</v>
      </c>
      <c r="K177" s="954" t="s">
        <v>970</v>
      </c>
      <c r="L177" s="2"/>
      <c r="M177" s="947">
        <f>SUM(M172:N173)+J176</f>
        <v>1359500</v>
      </c>
      <c r="N177" s="967"/>
      <c r="O177" s="934" t="s">
        <v>362</v>
      </c>
      <c r="P177" s="943">
        <f>SUM(P170:P176)</f>
        <v>1771624</v>
      </c>
      <c r="Q177" s="950"/>
      <c r="R177" s="950"/>
    </row>
    <row r="178">
      <c r="I178" s="934" t="s">
        <v>963</v>
      </c>
      <c r="J178" s="955">
        <v>0.09</v>
      </c>
      <c r="K178" s="926"/>
      <c r="L178" s="926"/>
      <c r="M178" s="926"/>
      <c r="N178" s="926"/>
      <c r="O178" s="926"/>
      <c r="P178" s="926"/>
      <c r="Q178" s="926"/>
      <c r="R178" s="926"/>
    </row>
    <row r="179">
      <c r="I179" s="972" t="s">
        <v>966</v>
      </c>
      <c r="J179" s="976">
        <v>0.035</v>
      </c>
      <c r="K179" s="926"/>
      <c r="L179" s="926"/>
      <c r="M179" s="926"/>
      <c r="N179" s="926"/>
      <c r="O179" s="926"/>
      <c r="P179" s="926"/>
      <c r="Q179" s="926"/>
      <c r="R179" s="926"/>
    </row>
    <row r="181">
      <c r="I181" s="927" t="s">
        <v>927</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929</v>
      </c>
      <c r="J182" s="935">
        <f>DAY(EOMONTH(J181,0))</f>
        <v>30</v>
      </c>
      <c r="K182" s="936" t="s">
        <v>930</v>
      </c>
      <c r="L182" s="936" t="s">
        <v>293</v>
      </c>
      <c r="M182" s="936" t="s">
        <v>931</v>
      </c>
      <c r="N182" s="936" t="s">
        <v>932</v>
      </c>
      <c r="O182" s="936" t="s">
        <v>933</v>
      </c>
      <c r="P182" s="936" t="s">
        <v>934</v>
      </c>
      <c r="Q182" s="934" t="s">
        <v>935</v>
      </c>
      <c r="R182" s="937">
        <v>1780.0</v>
      </c>
    </row>
    <row r="183">
      <c r="I183" s="934" t="s">
        <v>293</v>
      </c>
      <c r="J183" s="942">
        <f t="array" ref="J183">xlookup(K181,$B$3:$B$14,$C$3:$C$14)*100</f>
        <v>0</v>
      </c>
      <c r="K183" s="943">
        <f>SUM(M183:O183)</f>
        <v>312</v>
      </c>
      <c r="L183" s="943">
        <v>100.0</v>
      </c>
      <c r="M183" s="937">
        <v>312.0</v>
      </c>
      <c r="N183" s="944"/>
      <c r="O183" s="944"/>
      <c r="P183" s="943">
        <f>K183*J182</f>
        <v>9360</v>
      </c>
      <c r="Q183" s="945" t="s">
        <v>936</v>
      </c>
      <c r="R183" s="943">
        <f>P197</f>
        <v>1756960</v>
      </c>
    </row>
    <row r="184">
      <c r="I184" s="934" t="s">
        <v>937</v>
      </c>
      <c r="J184" s="937">
        <v>320000.0</v>
      </c>
      <c r="K184" s="943">
        <f>K183*L184%</f>
        <v>0</v>
      </c>
      <c r="L184" s="947">
        <f>J183</f>
        <v>0</v>
      </c>
      <c r="M184" s="943">
        <f>M183*L184%</f>
        <v>0</v>
      </c>
      <c r="N184" s="943">
        <f>N183*L184%</f>
        <v>0</v>
      </c>
      <c r="O184" s="943">
        <f>O183*L184%</f>
        <v>0</v>
      </c>
      <c r="P184" s="943">
        <f>K184*J182</f>
        <v>0</v>
      </c>
      <c r="Q184" s="934" t="s">
        <v>294</v>
      </c>
      <c r="R184" s="943">
        <f>R182*P184+R183</f>
        <v>1756960</v>
      </c>
    </row>
    <row r="185">
      <c r="I185" s="934" t="s">
        <v>938</v>
      </c>
      <c r="J185" s="977">
        <v>810000.0</v>
      </c>
      <c r="K185" s="949" t="s">
        <v>939</v>
      </c>
      <c r="L185" s="2"/>
      <c r="M185" s="937">
        <v>45.0</v>
      </c>
      <c r="N185" s="937">
        <v>23.0</v>
      </c>
      <c r="O185" s="937">
        <v>23.0</v>
      </c>
      <c r="P185" s="950"/>
      <c r="Q185" s="934" t="s">
        <v>940</v>
      </c>
      <c r="R185" s="943">
        <f>M190+SUM(M194:N196)</f>
        <v>2175480</v>
      </c>
    </row>
    <row r="186">
      <c r="I186" s="952" t="s">
        <v>941</v>
      </c>
      <c r="J186" s="953">
        <v>1300.0</v>
      </c>
      <c r="K186" s="954" t="s">
        <v>942</v>
      </c>
      <c r="L186" s="2"/>
      <c r="M186" s="943">
        <f t="shared" ref="M186:O186" si="52">M184/(360/M185)</f>
        <v>0</v>
      </c>
      <c r="N186" s="943">
        <f t="shared" si="52"/>
        <v>0</v>
      </c>
      <c r="O186" s="943">
        <f t="shared" si="52"/>
        <v>0</v>
      </c>
      <c r="P186" s="943">
        <f t="shared" ref="P186:P187" si="53">M186+N186+O186</f>
        <v>0</v>
      </c>
      <c r="Q186" s="934" t="s">
        <v>292</v>
      </c>
      <c r="R186" s="955">
        <f>R185/R184</f>
        <v>1.238206903</v>
      </c>
    </row>
    <row r="187">
      <c r="I187" s="957" t="s">
        <v>943</v>
      </c>
      <c r="J187" s="953">
        <v>6.0</v>
      </c>
      <c r="K187" s="958" t="s">
        <v>944</v>
      </c>
      <c r="L187" s="937">
        <v>1140.0</v>
      </c>
      <c r="M187" s="943">
        <f>M186*(L187*6)</f>
        <v>0</v>
      </c>
      <c r="N187" s="943">
        <f>N186*(L187*6)</f>
        <v>0</v>
      </c>
      <c r="O187" s="943">
        <f>O186*(L187*6)</f>
        <v>0</v>
      </c>
      <c r="P187" s="943">
        <f t="shared" si="53"/>
        <v>0</v>
      </c>
      <c r="Q187" s="934" t="s">
        <v>945</v>
      </c>
      <c r="R187" s="943">
        <f>R184-R185-M197</f>
        <v>-1778020</v>
      </c>
    </row>
    <row r="188">
      <c r="I188" s="959" t="s">
        <v>946</v>
      </c>
      <c r="J188" s="944"/>
      <c r="K188" s="960"/>
      <c r="L188" s="950"/>
      <c r="M188" s="950"/>
      <c r="N188" s="950"/>
      <c r="O188" s="950"/>
      <c r="P188" s="950"/>
      <c r="Q188" s="934" t="s">
        <v>291</v>
      </c>
      <c r="R188" s="955">
        <f>R187/R184</f>
        <v>-1.011986613</v>
      </c>
    </row>
    <row r="189">
      <c r="I189" s="952" t="s">
        <v>947</v>
      </c>
      <c r="J189" s="953">
        <v>1200.0</v>
      </c>
      <c r="K189" s="954" t="s">
        <v>948</v>
      </c>
      <c r="L189" s="2"/>
      <c r="M189" s="943">
        <f>P187+(P186*J195)</f>
        <v>0</v>
      </c>
      <c r="N189" s="950"/>
      <c r="O189" s="961" t="s">
        <v>949</v>
      </c>
      <c r="P189" s="945" t="s">
        <v>950</v>
      </c>
      <c r="Q189" s="950"/>
      <c r="R189" s="950"/>
    </row>
    <row r="190">
      <c r="I190" s="963" t="s">
        <v>951</v>
      </c>
      <c r="J190" s="953">
        <v>6.0</v>
      </c>
      <c r="K190" s="954" t="s">
        <v>952</v>
      </c>
      <c r="L190" s="2"/>
      <c r="M190" s="943">
        <f>M189*J182+(K183*J198*J182*150)</f>
        <v>126360</v>
      </c>
      <c r="N190" s="964"/>
      <c r="O190" s="965" t="s">
        <v>384</v>
      </c>
      <c r="P190" s="966">
        <v>413440.0</v>
      </c>
      <c r="Q190" s="950"/>
      <c r="R190" s="967"/>
    </row>
    <row r="191">
      <c r="I191" s="963" t="s">
        <v>953</v>
      </c>
      <c r="J191" s="953">
        <f>J182</f>
        <v>30</v>
      </c>
      <c r="K191" s="954" t="s">
        <v>954</v>
      </c>
      <c r="L191" s="2"/>
      <c r="M191" s="934" t="s">
        <v>392</v>
      </c>
      <c r="N191" s="959" t="s">
        <v>366</v>
      </c>
      <c r="O191" s="965" t="s">
        <v>380</v>
      </c>
      <c r="P191" s="966">
        <v>93600.0</v>
      </c>
      <c r="Q191" s="950"/>
      <c r="R191" s="950"/>
    </row>
    <row r="192">
      <c r="I192" s="952" t="s">
        <v>955</v>
      </c>
      <c r="J192" s="953">
        <v>1300.0</v>
      </c>
      <c r="K192" s="954" t="s">
        <v>956</v>
      </c>
      <c r="L192" s="2"/>
      <c r="M192" s="947">
        <f t="shared" ref="M192:M193" si="54">J184*1.15</f>
        <v>368000</v>
      </c>
      <c r="N192" s="968">
        <v>15000.0</v>
      </c>
      <c r="O192" s="965" t="s">
        <v>957</v>
      </c>
      <c r="P192" s="966">
        <v>345000.0</v>
      </c>
      <c r="Q192" s="950"/>
      <c r="R192" s="950"/>
    </row>
    <row r="193">
      <c r="I193" s="952" t="s">
        <v>958</v>
      </c>
      <c r="J193" s="953">
        <v>6.0</v>
      </c>
      <c r="K193" s="954" t="s">
        <v>959</v>
      </c>
      <c r="L193" s="2"/>
      <c r="M193" s="947">
        <f t="shared" si="54"/>
        <v>931500</v>
      </c>
      <c r="N193" s="947">
        <v>45000.0</v>
      </c>
      <c r="O193" s="969" t="s">
        <v>960</v>
      </c>
      <c r="P193" s="937">
        <f>K183*J197*J182*200</f>
        <v>187200</v>
      </c>
      <c r="Q193" s="950"/>
      <c r="R193" s="950"/>
    </row>
    <row r="194">
      <c r="I194" s="952" t="s">
        <v>961</v>
      </c>
      <c r="J194" s="953">
        <v>21.7</v>
      </c>
      <c r="K194" s="970" t="s">
        <v>962</v>
      </c>
      <c r="L194" s="2"/>
      <c r="M194" s="947">
        <f>(9*J182-21.7*4)*J186*J187</f>
        <v>1428960</v>
      </c>
      <c r="N194" s="947">
        <f>(9*J182-21.7*4)*J195</f>
        <v>183200</v>
      </c>
      <c r="O194" s="965" t="s">
        <v>963</v>
      </c>
      <c r="P194" s="937">
        <f t="shared" ref="P194:P195" si="55">K183*J198*J182*300</f>
        <v>252720</v>
      </c>
      <c r="Q194" s="950"/>
      <c r="R194" s="971"/>
    </row>
    <row r="195">
      <c r="I195" s="972" t="s">
        <v>964</v>
      </c>
      <c r="J195" s="973">
        <v>1000.0</v>
      </c>
      <c r="K195" s="949" t="s">
        <v>965</v>
      </c>
      <c r="L195" s="2"/>
      <c r="M195" s="947">
        <f>J189*J190*J191</f>
        <v>216000</v>
      </c>
      <c r="N195" s="947">
        <f>J191*J195</f>
        <v>30000</v>
      </c>
      <c r="O195" s="965" t="s">
        <v>966</v>
      </c>
      <c r="P195" s="937">
        <f t="shared" si="55"/>
        <v>0</v>
      </c>
      <c r="Q195" s="950"/>
      <c r="R195" s="950"/>
    </row>
    <row r="196">
      <c r="I196" s="972" t="s">
        <v>967</v>
      </c>
      <c r="J196" s="950"/>
      <c r="K196" s="949" t="s">
        <v>971</v>
      </c>
      <c r="L196" s="2"/>
      <c r="M196" s="947">
        <f>J192*J193*J194</f>
        <v>169260</v>
      </c>
      <c r="N196" s="947">
        <f>J194*J195</f>
        <v>21700</v>
      </c>
      <c r="O196" s="934" t="s">
        <v>969</v>
      </c>
      <c r="P196" s="943">
        <v>465000.0</v>
      </c>
      <c r="Q196" s="950"/>
      <c r="R196" s="971"/>
    </row>
    <row r="197">
      <c r="I197" s="934" t="s">
        <v>960</v>
      </c>
      <c r="J197" s="975">
        <v>0.1</v>
      </c>
      <c r="K197" s="954" t="s">
        <v>970</v>
      </c>
      <c r="L197" s="2"/>
      <c r="M197" s="947">
        <f>SUM(M192:N193)+J196</f>
        <v>1359500</v>
      </c>
      <c r="N197" s="967"/>
      <c r="O197" s="934" t="s">
        <v>362</v>
      </c>
      <c r="P197" s="943">
        <f>SUM(P190:P196)</f>
        <v>1756960</v>
      </c>
      <c r="Q197" s="950"/>
      <c r="R197" s="950"/>
    </row>
    <row r="198">
      <c r="I198" s="934" t="s">
        <v>963</v>
      </c>
      <c r="J198" s="955">
        <v>0.09</v>
      </c>
      <c r="K198" s="926"/>
      <c r="L198" s="926"/>
      <c r="M198" s="926"/>
      <c r="N198" s="926"/>
      <c r="O198" s="926"/>
      <c r="P198" s="926"/>
      <c r="Q198" s="926"/>
      <c r="R198" s="926"/>
    </row>
    <row r="199">
      <c r="I199" s="972" t="s">
        <v>966</v>
      </c>
      <c r="J199" s="976">
        <v>0.035</v>
      </c>
      <c r="K199" s="926"/>
      <c r="L199" s="926"/>
      <c r="M199" s="926"/>
      <c r="N199" s="926"/>
      <c r="O199" s="926"/>
      <c r="P199" s="926"/>
      <c r="Q199" s="926"/>
      <c r="R199" s="926"/>
    </row>
    <row r="201">
      <c r="I201" s="927" t="s">
        <v>927</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929</v>
      </c>
      <c r="J202" s="935">
        <f>DAY(EOMONTH(J201,0))</f>
        <v>31</v>
      </c>
      <c r="K202" s="936" t="s">
        <v>930</v>
      </c>
      <c r="L202" s="936" t="s">
        <v>293</v>
      </c>
      <c r="M202" s="936" t="s">
        <v>931</v>
      </c>
      <c r="N202" s="936" t="s">
        <v>932</v>
      </c>
      <c r="O202" s="936" t="s">
        <v>933</v>
      </c>
      <c r="P202" s="936" t="s">
        <v>934</v>
      </c>
      <c r="Q202" s="934" t="s">
        <v>935</v>
      </c>
      <c r="R202" s="937">
        <v>1780.0</v>
      </c>
    </row>
    <row r="203">
      <c r="I203" s="934" t="s">
        <v>293</v>
      </c>
      <c r="J203" s="942">
        <f t="array" ref="J203">xlookup(K201,$B$3:$B$14,$C$3:$C$14)*100</f>
        <v>0</v>
      </c>
      <c r="K203" s="943">
        <f>SUM(M203:O203)</f>
        <v>312</v>
      </c>
      <c r="L203" s="943">
        <v>100.0</v>
      </c>
      <c r="M203" s="937">
        <v>312.0</v>
      </c>
      <c r="N203" s="944"/>
      <c r="O203" s="944"/>
      <c r="P203" s="943">
        <f>K203*J202</f>
        <v>9672</v>
      </c>
      <c r="Q203" s="945" t="s">
        <v>936</v>
      </c>
      <c r="R203" s="943">
        <f>P217</f>
        <v>1771624</v>
      </c>
    </row>
    <row r="204">
      <c r="I204" s="934" t="s">
        <v>937</v>
      </c>
      <c r="J204" s="937">
        <v>320000.0</v>
      </c>
      <c r="K204" s="943">
        <f>K203*L204%</f>
        <v>0</v>
      </c>
      <c r="L204" s="947">
        <f>J203</f>
        <v>0</v>
      </c>
      <c r="M204" s="943">
        <f>M203*L204%</f>
        <v>0</v>
      </c>
      <c r="N204" s="943">
        <f>N203*L204%</f>
        <v>0</v>
      </c>
      <c r="O204" s="943">
        <f>O203*L204%</f>
        <v>0</v>
      </c>
      <c r="P204" s="943">
        <f>K204*J202</f>
        <v>0</v>
      </c>
      <c r="Q204" s="934" t="s">
        <v>294</v>
      </c>
      <c r="R204" s="943">
        <f>R202*P204+R203</f>
        <v>1771624</v>
      </c>
    </row>
    <row r="205">
      <c r="I205" s="934" t="s">
        <v>938</v>
      </c>
      <c r="J205" s="977">
        <v>810000.0</v>
      </c>
      <c r="K205" s="949" t="s">
        <v>939</v>
      </c>
      <c r="L205" s="2"/>
      <c r="M205" s="937">
        <v>45.0</v>
      </c>
      <c r="N205" s="937">
        <v>23.0</v>
      </c>
      <c r="O205" s="937">
        <v>23.0</v>
      </c>
      <c r="P205" s="950"/>
      <c r="Q205" s="934" t="s">
        <v>940</v>
      </c>
      <c r="R205" s="943">
        <f>M210+SUM(M214:N216)</f>
        <v>2267092</v>
      </c>
    </row>
    <row r="206">
      <c r="I206" s="952" t="s">
        <v>941</v>
      </c>
      <c r="J206" s="953">
        <v>1300.0</v>
      </c>
      <c r="K206" s="954" t="s">
        <v>942</v>
      </c>
      <c r="L206" s="2"/>
      <c r="M206" s="943">
        <f t="shared" ref="M206:O206" si="56">M204/(360/M205)</f>
        <v>0</v>
      </c>
      <c r="N206" s="943">
        <f t="shared" si="56"/>
        <v>0</v>
      </c>
      <c r="O206" s="943">
        <f t="shared" si="56"/>
        <v>0</v>
      </c>
      <c r="P206" s="943">
        <f t="shared" ref="P206:P207" si="57">M206+N206+O206</f>
        <v>0</v>
      </c>
      <c r="Q206" s="934" t="s">
        <v>292</v>
      </c>
      <c r="R206" s="955">
        <f>R205/R204</f>
        <v>1.279668824</v>
      </c>
    </row>
    <row r="207">
      <c r="I207" s="957" t="s">
        <v>943</v>
      </c>
      <c r="J207" s="953">
        <v>6.0</v>
      </c>
      <c r="K207" s="958" t="s">
        <v>944</v>
      </c>
      <c r="L207" s="937">
        <v>1140.0</v>
      </c>
      <c r="M207" s="943">
        <f>M206*(L207*6)</f>
        <v>0</v>
      </c>
      <c r="N207" s="943">
        <f>N206*(L207*6)</f>
        <v>0</v>
      </c>
      <c r="O207" s="943">
        <f>O206*(L207*6)</f>
        <v>0</v>
      </c>
      <c r="P207" s="943">
        <f t="shared" si="57"/>
        <v>0</v>
      </c>
      <c r="Q207" s="934" t="s">
        <v>945</v>
      </c>
      <c r="R207" s="943">
        <f>R204-R205-M217</f>
        <v>-1854968</v>
      </c>
    </row>
    <row r="208">
      <c r="I208" s="959" t="s">
        <v>946</v>
      </c>
      <c r="J208" s="944"/>
      <c r="K208" s="960"/>
      <c r="L208" s="950"/>
      <c r="M208" s="950"/>
      <c r="N208" s="950"/>
      <c r="O208" s="950"/>
      <c r="P208" s="950"/>
      <c r="Q208" s="934" t="s">
        <v>291</v>
      </c>
      <c r="R208" s="955">
        <f>R207/R204</f>
        <v>-1.047043842</v>
      </c>
    </row>
    <row r="209">
      <c r="I209" s="952" t="s">
        <v>947</v>
      </c>
      <c r="J209" s="953">
        <v>1200.0</v>
      </c>
      <c r="K209" s="954" t="s">
        <v>948</v>
      </c>
      <c r="L209" s="2"/>
      <c r="M209" s="943">
        <f>P207+(P206*J215)</f>
        <v>0</v>
      </c>
      <c r="N209" s="950"/>
      <c r="O209" s="961" t="s">
        <v>949</v>
      </c>
      <c r="P209" s="945" t="s">
        <v>950</v>
      </c>
      <c r="Q209" s="950"/>
      <c r="R209" s="950"/>
    </row>
    <row r="210">
      <c r="I210" s="963" t="s">
        <v>951</v>
      </c>
      <c r="J210" s="953">
        <v>6.0</v>
      </c>
      <c r="K210" s="954" t="s">
        <v>952</v>
      </c>
      <c r="L210" s="2"/>
      <c r="M210" s="943">
        <f>M209*J202+(K203*J218*J202*150)</f>
        <v>130572</v>
      </c>
      <c r="N210" s="964"/>
      <c r="O210" s="965" t="s">
        <v>384</v>
      </c>
      <c r="P210" s="966">
        <v>413440.0</v>
      </c>
      <c r="Q210" s="950"/>
      <c r="R210" s="967"/>
    </row>
    <row r="211">
      <c r="I211" s="963" t="s">
        <v>953</v>
      </c>
      <c r="J211" s="953">
        <f>J202</f>
        <v>31</v>
      </c>
      <c r="K211" s="954" t="s">
        <v>954</v>
      </c>
      <c r="L211" s="2"/>
      <c r="M211" s="934" t="s">
        <v>392</v>
      </c>
      <c r="N211" s="959" t="s">
        <v>366</v>
      </c>
      <c r="O211" s="965" t="s">
        <v>380</v>
      </c>
      <c r="P211" s="966">
        <v>93600.0</v>
      </c>
      <c r="Q211" s="950"/>
      <c r="R211" s="950"/>
    </row>
    <row r="212">
      <c r="I212" s="952" t="s">
        <v>955</v>
      </c>
      <c r="J212" s="953">
        <v>1300.0</v>
      </c>
      <c r="K212" s="954" t="s">
        <v>956</v>
      </c>
      <c r="L212" s="2"/>
      <c r="M212" s="947">
        <f t="shared" ref="M212:M213" si="58">J204*1.15</f>
        <v>368000</v>
      </c>
      <c r="N212" s="968">
        <v>15000.0</v>
      </c>
      <c r="O212" s="965" t="s">
        <v>957</v>
      </c>
      <c r="P212" s="966">
        <v>345000.0</v>
      </c>
      <c r="Q212" s="950"/>
      <c r="R212" s="950"/>
    </row>
    <row r="213">
      <c r="I213" s="952" t="s">
        <v>958</v>
      </c>
      <c r="J213" s="953">
        <v>6.0</v>
      </c>
      <c r="K213" s="954" t="s">
        <v>959</v>
      </c>
      <c r="L213" s="2"/>
      <c r="M213" s="947">
        <f t="shared" si="58"/>
        <v>931500</v>
      </c>
      <c r="N213" s="947">
        <v>45000.0</v>
      </c>
      <c r="O213" s="969" t="s">
        <v>960</v>
      </c>
      <c r="P213" s="937">
        <f>K203*J217*J202*200</f>
        <v>193440</v>
      </c>
      <c r="Q213" s="950"/>
      <c r="R213" s="950"/>
    </row>
    <row r="214">
      <c r="I214" s="952" t="s">
        <v>961</v>
      </c>
      <c r="J214" s="953">
        <v>21.7</v>
      </c>
      <c r="K214" s="970" t="s">
        <v>962</v>
      </c>
      <c r="L214" s="2"/>
      <c r="M214" s="947">
        <f>(9*J202-21.7*4)*J206*J207</f>
        <v>1499160</v>
      </c>
      <c r="N214" s="947">
        <f>(9*J202-21.7*4)*J215</f>
        <v>192200</v>
      </c>
      <c r="O214" s="965" t="s">
        <v>963</v>
      </c>
      <c r="P214" s="937">
        <f t="shared" ref="P214:P215" si="59">K203*J218*J202*300</f>
        <v>261144</v>
      </c>
      <c r="Q214" s="950"/>
      <c r="R214" s="971"/>
    </row>
    <row r="215">
      <c r="I215" s="972" t="s">
        <v>964</v>
      </c>
      <c r="J215" s="973">
        <v>1000.0</v>
      </c>
      <c r="K215" s="949" t="s">
        <v>965</v>
      </c>
      <c r="L215" s="2"/>
      <c r="M215" s="947">
        <f>J209*J210*J211</f>
        <v>223200</v>
      </c>
      <c r="N215" s="947">
        <f>J211*J215</f>
        <v>31000</v>
      </c>
      <c r="O215" s="965" t="s">
        <v>966</v>
      </c>
      <c r="P215" s="937">
        <f t="shared" si="59"/>
        <v>0</v>
      </c>
      <c r="Q215" s="950"/>
      <c r="R215" s="950"/>
    </row>
    <row r="216">
      <c r="I216" s="972" t="s">
        <v>967</v>
      </c>
      <c r="J216" s="950"/>
      <c r="K216" s="949" t="s">
        <v>971</v>
      </c>
      <c r="L216" s="2"/>
      <c r="M216" s="947">
        <f>J212*J213*J214</f>
        <v>169260</v>
      </c>
      <c r="N216" s="947">
        <f>J214*J215</f>
        <v>21700</v>
      </c>
      <c r="O216" s="934" t="s">
        <v>969</v>
      </c>
      <c r="P216" s="943">
        <v>465000.0</v>
      </c>
      <c r="Q216" s="950"/>
      <c r="R216" s="971"/>
    </row>
    <row r="217">
      <c r="I217" s="934" t="s">
        <v>960</v>
      </c>
      <c r="J217" s="975">
        <v>0.1</v>
      </c>
      <c r="K217" s="954" t="s">
        <v>970</v>
      </c>
      <c r="L217" s="2"/>
      <c r="M217" s="947">
        <f>SUM(M212:N213)+J216</f>
        <v>1359500</v>
      </c>
      <c r="N217" s="967"/>
      <c r="O217" s="934" t="s">
        <v>362</v>
      </c>
      <c r="P217" s="943">
        <f>SUM(P210:P216)</f>
        <v>1771624</v>
      </c>
      <c r="Q217" s="950"/>
      <c r="R217" s="950"/>
    </row>
    <row r="218">
      <c r="I218" s="934" t="s">
        <v>963</v>
      </c>
      <c r="J218" s="955">
        <v>0.09</v>
      </c>
      <c r="K218" s="926"/>
      <c r="L218" s="926"/>
      <c r="M218" s="926"/>
      <c r="N218" s="926"/>
      <c r="O218" s="926"/>
      <c r="P218" s="926"/>
      <c r="Q218" s="926"/>
      <c r="R218" s="926"/>
    </row>
    <row r="219">
      <c r="I219" s="972" t="s">
        <v>966</v>
      </c>
      <c r="J219" s="976">
        <v>0.035</v>
      </c>
      <c r="K219" s="926"/>
      <c r="L219" s="926"/>
      <c r="M219" s="926"/>
      <c r="N219" s="926"/>
      <c r="O219" s="926"/>
      <c r="P219" s="926"/>
      <c r="Q219" s="926"/>
      <c r="R219" s="926"/>
    </row>
    <row r="221">
      <c r="I221" s="927" t="s">
        <v>927</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929</v>
      </c>
      <c r="J222" s="935">
        <f>DAY(EOMONTH(J221,0))</f>
        <v>31</v>
      </c>
      <c r="K222" s="936" t="s">
        <v>930</v>
      </c>
      <c r="L222" s="936" t="s">
        <v>293</v>
      </c>
      <c r="M222" s="936" t="s">
        <v>931</v>
      </c>
      <c r="N222" s="936" t="s">
        <v>932</v>
      </c>
      <c r="O222" s="936" t="s">
        <v>933</v>
      </c>
      <c r="P222" s="936" t="s">
        <v>934</v>
      </c>
      <c r="Q222" s="934" t="s">
        <v>935</v>
      </c>
      <c r="R222" s="937">
        <v>1780.0</v>
      </c>
    </row>
    <row r="223">
      <c r="I223" s="934" t="s">
        <v>293</v>
      </c>
      <c r="J223" s="942">
        <f t="array" ref="J223">xlookup(K221,$B$3:$B$14,$C$3:$C$14)*100</f>
        <v>0</v>
      </c>
      <c r="K223" s="943">
        <f>SUM(M223:O223)</f>
        <v>312</v>
      </c>
      <c r="L223" s="943">
        <v>100.0</v>
      </c>
      <c r="M223" s="937">
        <v>312.0</v>
      </c>
      <c r="N223" s="944"/>
      <c r="O223" s="944"/>
      <c r="P223" s="943">
        <f>K223*J222</f>
        <v>9672</v>
      </c>
      <c r="Q223" s="945" t="s">
        <v>936</v>
      </c>
      <c r="R223" s="943">
        <f>P237</f>
        <v>1771624</v>
      </c>
    </row>
    <row r="224">
      <c r="I224" s="934" t="s">
        <v>937</v>
      </c>
      <c r="J224" s="937">
        <v>320000.0</v>
      </c>
      <c r="K224" s="943">
        <f>K223*L224%</f>
        <v>0</v>
      </c>
      <c r="L224" s="947">
        <f>J223</f>
        <v>0</v>
      </c>
      <c r="M224" s="943">
        <f>M223*L224%</f>
        <v>0</v>
      </c>
      <c r="N224" s="943">
        <f>N223*L224%</f>
        <v>0</v>
      </c>
      <c r="O224" s="943">
        <f>O223*L224%</f>
        <v>0</v>
      </c>
      <c r="P224" s="943">
        <f>K224*J222</f>
        <v>0</v>
      </c>
      <c r="Q224" s="934" t="s">
        <v>294</v>
      </c>
      <c r="R224" s="943">
        <f>R222*P224+R223</f>
        <v>1771624</v>
      </c>
    </row>
    <row r="225">
      <c r="I225" s="934" t="s">
        <v>938</v>
      </c>
      <c r="J225" s="977">
        <v>810000.0</v>
      </c>
      <c r="K225" s="949" t="s">
        <v>939</v>
      </c>
      <c r="L225" s="2"/>
      <c r="M225" s="937">
        <v>45.0</v>
      </c>
      <c r="N225" s="937">
        <v>23.0</v>
      </c>
      <c r="O225" s="937">
        <v>23.0</v>
      </c>
      <c r="P225" s="950"/>
      <c r="Q225" s="934" t="s">
        <v>940</v>
      </c>
      <c r="R225" s="943">
        <f>M230+SUM(M234:N236)</f>
        <v>2267092</v>
      </c>
    </row>
    <row r="226">
      <c r="I226" s="952" t="s">
        <v>941</v>
      </c>
      <c r="J226" s="953">
        <v>1300.0</v>
      </c>
      <c r="K226" s="954" t="s">
        <v>942</v>
      </c>
      <c r="L226" s="2"/>
      <c r="M226" s="943">
        <f t="shared" ref="M226:O226" si="60">M224/(360/M225)</f>
        <v>0</v>
      </c>
      <c r="N226" s="943">
        <f t="shared" si="60"/>
        <v>0</v>
      </c>
      <c r="O226" s="943">
        <f t="shared" si="60"/>
        <v>0</v>
      </c>
      <c r="P226" s="943">
        <f t="shared" ref="P226:P227" si="61">M226+N226+O226</f>
        <v>0</v>
      </c>
      <c r="Q226" s="934" t="s">
        <v>292</v>
      </c>
      <c r="R226" s="955">
        <f>R225/R224</f>
        <v>1.279668824</v>
      </c>
    </row>
    <row r="227">
      <c r="I227" s="957" t="s">
        <v>943</v>
      </c>
      <c r="J227" s="953">
        <v>6.0</v>
      </c>
      <c r="K227" s="958" t="s">
        <v>944</v>
      </c>
      <c r="L227" s="937">
        <v>1140.0</v>
      </c>
      <c r="M227" s="943">
        <f>M226*(L227*6)</f>
        <v>0</v>
      </c>
      <c r="N227" s="943">
        <f>N226*(L227*6)</f>
        <v>0</v>
      </c>
      <c r="O227" s="943">
        <f>O226*(L227*6)</f>
        <v>0</v>
      </c>
      <c r="P227" s="943">
        <f t="shared" si="61"/>
        <v>0</v>
      </c>
      <c r="Q227" s="934" t="s">
        <v>945</v>
      </c>
      <c r="R227" s="943">
        <f>R224-R225-M237</f>
        <v>-1854968</v>
      </c>
    </row>
    <row r="228">
      <c r="I228" s="959" t="s">
        <v>946</v>
      </c>
      <c r="J228" s="944"/>
      <c r="K228" s="960"/>
      <c r="L228" s="950"/>
      <c r="M228" s="950"/>
      <c r="N228" s="950"/>
      <c r="O228" s="950"/>
      <c r="P228" s="950"/>
      <c r="Q228" s="934" t="s">
        <v>291</v>
      </c>
      <c r="R228" s="955">
        <f>R227/R224</f>
        <v>-1.047043842</v>
      </c>
    </row>
    <row r="229">
      <c r="I229" s="952" t="s">
        <v>947</v>
      </c>
      <c r="J229" s="953">
        <v>1200.0</v>
      </c>
      <c r="K229" s="954" t="s">
        <v>948</v>
      </c>
      <c r="L229" s="2"/>
      <c r="M229" s="943">
        <f>P227+(P226*J235)</f>
        <v>0</v>
      </c>
      <c r="N229" s="950"/>
      <c r="O229" s="961" t="s">
        <v>949</v>
      </c>
      <c r="P229" s="945" t="s">
        <v>950</v>
      </c>
      <c r="Q229" s="950"/>
      <c r="R229" s="950"/>
    </row>
    <row r="230">
      <c r="I230" s="963" t="s">
        <v>951</v>
      </c>
      <c r="J230" s="953">
        <v>6.0</v>
      </c>
      <c r="K230" s="954" t="s">
        <v>952</v>
      </c>
      <c r="L230" s="2"/>
      <c r="M230" s="943">
        <f>M229*J222+(K223*J238*J222*150)</f>
        <v>130572</v>
      </c>
      <c r="N230" s="964"/>
      <c r="O230" s="965" t="s">
        <v>384</v>
      </c>
      <c r="P230" s="966">
        <v>413440.0</v>
      </c>
      <c r="Q230" s="950"/>
      <c r="R230" s="967"/>
    </row>
    <row r="231">
      <c r="I231" s="963" t="s">
        <v>953</v>
      </c>
      <c r="J231" s="953">
        <f>J222</f>
        <v>31</v>
      </c>
      <c r="K231" s="954" t="s">
        <v>954</v>
      </c>
      <c r="L231" s="2"/>
      <c r="M231" s="934" t="s">
        <v>392</v>
      </c>
      <c r="N231" s="959" t="s">
        <v>366</v>
      </c>
      <c r="O231" s="965" t="s">
        <v>380</v>
      </c>
      <c r="P231" s="966">
        <v>93600.0</v>
      </c>
      <c r="Q231" s="950"/>
      <c r="R231" s="950"/>
    </row>
    <row r="232">
      <c r="I232" s="952" t="s">
        <v>955</v>
      </c>
      <c r="J232" s="953">
        <v>1300.0</v>
      </c>
      <c r="K232" s="954" t="s">
        <v>956</v>
      </c>
      <c r="L232" s="2"/>
      <c r="M232" s="947">
        <f t="shared" ref="M232:M233" si="62">J224*1.15</f>
        <v>368000</v>
      </c>
      <c r="N232" s="968">
        <v>15000.0</v>
      </c>
      <c r="O232" s="965" t="s">
        <v>957</v>
      </c>
      <c r="P232" s="966">
        <v>345000.0</v>
      </c>
      <c r="Q232" s="950"/>
      <c r="R232" s="950"/>
    </row>
    <row r="233">
      <c r="I233" s="952" t="s">
        <v>958</v>
      </c>
      <c r="J233" s="953">
        <v>6.0</v>
      </c>
      <c r="K233" s="954" t="s">
        <v>959</v>
      </c>
      <c r="L233" s="2"/>
      <c r="M233" s="947">
        <f t="shared" si="62"/>
        <v>931500</v>
      </c>
      <c r="N233" s="947">
        <v>45000.0</v>
      </c>
      <c r="O233" s="969" t="s">
        <v>960</v>
      </c>
      <c r="P233" s="937">
        <f>K223*J237*J222*200</f>
        <v>193440</v>
      </c>
      <c r="Q233" s="950"/>
      <c r="R233" s="950"/>
    </row>
    <row r="234">
      <c r="I234" s="952" t="s">
        <v>961</v>
      </c>
      <c r="J234" s="953">
        <v>21.7</v>
      </c>
      <c r="K234" s="970" t="s">
        <v>962</v>
      </c>
      <c r="L234" s="2"/>
      <c r="M234" s="947">
        <f>(9*J222-21.7*4)*J226*J227</f>
        <v>1499160</v>
      </c>
      <c r="N234" s="947">
        <f>(9*J222-21.7*4)*J235</f>
        <v>192200</v>
      </c>
      <c r="O234" s="965" t="s">
        <v>963</v>
      </c>
      <c r="P234" s="937">
        <f t="shared" ref="P234:P235" si="63">K223*J238*J222*300</f>
        <v>261144</v>
      </c>
      <c r="Q234" s="950"/>
      <c r="R234" s="971"/>
    </row>
    <row r="235">
      <c r="I235" s="972" t="s">
        <v>964</v>
      </c>
      <c r="J235" s="973">
        <v>1000.0</v>
      </c>
      <c r="K235" s="949" t="s">
        <v>965</v>
      </c>
      <c r="L235" s="2"/>
      <c r="M235" s="947">
        <f>J229*J230*J231</f>
        <v>223200</v>
      </c>
      <c r="N235" s="947">
        <f>J231*J235</f>
        <v>31000</v>
      </c>
      <c r="O235" s="965" t="s">
        <v>966</v>
      </c>
      <c r="P235" s="937">
        <f t="shared" si="63"/>
        <v>0</v>
      </c>
      <c r="Q235" s="950"/>
      <c r="R235" s="950"/>
    </row>
    <row r="236">
      <c r="I236" s="972" t="s">
        <v>967</v>
      </c>
      <c r="J236" s="950"/>
      <c r="K236" s="949" t="s">
        <v>971</v>
      </c>
      <c r="L236" s="2"/>
      <c r="M236" s="947">
        <f>J232*J233*J234</f>
        <v>169260</v>
      </c>
      <c r="N236" s="947">
        <f>J234*J235</f>
        <v>21700</v>
      </c>
      <c r="O236" s="934" t="s">
        <v>969</v>
      </c>
      <c r="P236" s="943">
        <v>465000.0</v>
      </c>
      <c r="Q236" s="950"/>
      <c r="R236" s="971"/>
    </row>
    <row r="237">
      <c r="I237" s="934" t="s">
        <v>960</v>
      </c>
      <c r="J237" s="975">
        <v>0.1</v>
      </c>
      <c r="K237" s="954" t="s">
        <v>970</v>
      </c>
      <c r="L237" s="2"/>
      <c r="M237" s="947">
        <f>SUM(M232:N233)+J236</f>
        <v>1359500</v>
      </c>
      <c r="N237" s="967"/>
      <c r="O237" s="934" t="s">
        <v>362</v>
      </c>
      <c r="P237" s="943">
        <f>SUM(P230:P236)</f>
        <v>1771624</v>
      </c>
      <c r="Q237" s="950"/>
      <c r="R237" s="950"/>
    </row>
    <row r="238">
      <c r="I238" s="934" t="s">
        <v>963</v>
      </c>
      <c r="J238" s="955">
        <v>0.09</v>
      </c>
      <c r="K238" s="926"/>
      <c r="L238" s="926"/>
      <c r="M238" s="926"/>
      <c r="N238" s="926"/>
      <c r="O238" s="926"/>
      <c r="P238" s="926"/>
      <c r="Q238" s="926"/>
      <c r="R238" s="926"/>
    </row>
    <row r="239">
      <c r="I239" s="972" t="s">
        <v>966</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972</v>
      </c>
      <c r="C2" s="185"/>
      <c r="D2" s="185"/>
      <c r="E2" s="185"/>
      <c r="F2" s="208"/>
      <c r="G2" s="185"/>
      <c r="H2" s="185"/>
      <c r="I2" s="185"/>
      <c r="J2" s="185"/>
      <c r="K2" s="185"/>
      <c r="L2" s="185"/>
      <c r="M2" s="185"/>
      <c r="N2" s="185"/>
      <c r="O2" s="981"/>
      <c r="P2" s="989">
        <f>month(P3)</f>
        <v>2</v>
      </c>
      <c r="Q2" s="990" t="s">
        <v>973</v>
      </c>
      <c r="R2" s="991" t="s">
        <v>974</v>
      </c>
      <c r="S2" s="992" t="s">
        <v>975</v>
      </c>
      <c r="T2" s="992" t="s">
        <v>976</v>
      </c>
      <c r="U2" s="992" t="s">
        <v>977</v>
      </c>
      <c r="V2" s="993" t="s">
        <v>978</v>
      </c>
      <c r="W2" s="992" t="s">
        <v>979</v>
      </c>
      <c r="X2" s="992" t="s">
        <v>980</v>
      </c>
      <c r="Y2" s="989"/>
      <c r="Z2" s="989">
        <f>month(Z3)</f>
        <v>3</v>
      </c>
      <c r="AA2" s="990" t="s">
        <v>973</v>
      </c>
      <c r="AB2" s="991" t="s">
        <v>974</v>
      </c>
      <c r="AC2" s="992" t="s">
        <v>975</v>
      </c>
      <c r="AD2" s="992" t="s">
        <v>976</v>
      </c>
      <c r="AE2" s="992" t="s">
        <v>977</v>
      </c>
      <c r="AF2" s="993" t="s">
        <v>981</v>
      </c>
      <c r="AG2" s="992" t="s">
        <v>979</v>
      </c>
      <c r="AH2" s="992" t="s">
        <v>980</v>
      </c>
      <c r="AI2" s="989"/>
      <c r="AJ2" s="989">
        <f>month(AJ3)</f>
        <v>4</v>
      </c>
      <c r="AK2" s="990" t="s">
        <v>973</v>
      </c>
      <c r="AL2" s="991" t="s">
        <v>974</v>
      </c>
      <c r="AM2" s="992" t="s">
        <v>975</v>
      </c>
      <c r="AN2" s="992" t="s">
        <v>976</v>
      </c>
      <c r="AO2" s="992" t="s">
        <v>977</v>
      </c>
      <c r="AP2" s="993" t="s">
        <v>982</v>
      </c>
      <c r="AQ2" s="992" t="s">
        <v>979</v>
      </c>
      <c r="AR2" s="992" t="s">
        <v>980</v>
      </c>
      <c r="AS2" s="992"/>
      <c r="AT2" s="989">
        <f>month(AT3)</f>
        <v>5</v>
      </c>
      <c r="AU2" s="994" t="s">
        <v>973</v>
      </c>
      <c r="AV2" s="995" t="s">
        <v>974</v>
      </c>
      <c r="AW2" s="996" t="s">
        <v>975</v>
      </c>
      <c r="AX2" s="996" t="s">
        <v>976</v>
      </c>
      <c r="AY2" s="996" t="s">
        <v>977</v>
      </c>
      <c r="AZ2" s="997" t="s">
        <v>983</v>
      </c>
      <c r="BA2" s="996" t="s">
        <v>979</v>
      </c>
      <c r="BB2" s="996" t="s">
        <v>980</v>
      </c>
      <c r="BC2" s="989"/>
      <c r="BD2" s="989">
        <f>month(BD3)</f>
        <v>6</v>
      </c>
      <c r="BE2" s="990" t="s">
        <v>973</v>
      </c>
      <c r="BF2" s="991" t="s">
        <v>974</v>
      </c>
      <c r="BG2" s="992" t="s">
        <v>975</v>
      </c>
      <c r="BH2" s="992" t="s">
        <v>976</v>
      </c>
      <c r="BI2" s="992" t="s">
        <v>977</v>
      </c>
      <c r="BJ2" s="993" t="s">
        <v>984</v>
      </c>
      <c r="BK2" s="992" t="s">
        <v>979</v>
      </c>
      <c r="BL2" s="992" t="s">
        <v>980</v>
      </c>
      <c r="BM2" s="989"/>
      <c r="BN2" s="989">
        <f>month(BN3)</f>
        <v>7</v>
      </c>
      <c r="BO2" s="990" t="s">
        <v>973</v>
      </c>
      <c r="BP2" s="991" t="s">
        <v>974</v>
      </c>
      <c r="BQ2" s="992" t="s">
        <v>975</v>
      </c>
      <c r="BR2" s="992" t="s">
        <v>976</v>
      </c>
      <c r="BS2" s="992" t="s">
        <v>977</v>
      </c>
      <c r="BT2" s="993" t="s">
        <v>985</v>
      </c>
      <c r="BU2" s="992" t="s">
        <v>979</v>
      </c>
      <c r="BV2" s="992" t="s">
        <v>980</v>
      </c>
      <c r="BW2" s="992"/>
      <c r="BX2" s="989">
        <f>month(BX3)</f>
        <v>8</v>
      </c>
      <c r="BY2" s="990" t="s">
        <v>973</v>
      </c>
      <c r="BZ2" s="991" t="s">
        <v>974</v>
      </c>
      <c r="CA2" s="992" t="s">
        <v>975</v>
      </c>
      <c r="CB2" s="992" t="s">
        <v>976</v>
      </c>
      <c r="CC2" s="992" t="s">
        <v>977</v>
      </c>
      <c r="CD2" s="993" t="s">
        <v>986</v>
      </c>
      <c r="CE2" s="992" t="s">
        <v>979</v>
      </c>
      <c r="CF2" s="992" t="s">
        <v>980</v>
      </c>
      <c r="CG2" s="989"/>
      <c r="CH2" s="989">
        <f>month(CH3)</f>
        <v>9</v>
      </c>
      <c r="CI2" s="990" t="s">
        <v>973</v>
      </c>
      <c r="CJ2" s="991" t="s">
        <v>974</v>
      </c>
      <c r="CK2" s="992" t="s">
        <v>975</v>
      </c>
      <c r="CL2" s="992" t="s">
        <v>976</v>
      </c>
      <c r="CM2" s="992" t="s">
        <v>977</v>
      </c>
      <c r="CN2" s="993" t="s">
        <v>987</v>
      </c>
      <c r="CO2" s="992" t="s">
        <v>979</v>
      </c>
      <c r="CP2" s="992" t="s">
        <v>980</v>
      </c>
      <c r="CQ2" s="989"/>
      <c r="CR2" s="989">
        <f>month(CR3)</f>
        <v>10</v>
      </c>
      <c r="CS2" s="990" t="s">
        <v>973</v>
      </c>
      <c r="CT2" s="991" t="s">
        <v>974</v>
      </c>
      <c r="CU2" s="992" t="s">
        <v>975</v>
      </c>
      <c r="CV2" s="992" t="s">
        <v>976</v>
      </c>
      <c r="CW2" s="992" t="s">
        <v>977</v>
      </c>
      <c r="CX2" s="993" t="s">
        <v>988</v>
      </c>
      <c r="CY2" s="992" t="s">
        <v>979</v>
      </c>
      <c r="CZ2" s="992" t="s">
        <v>980</v>
      </c>
      <c r="DA2" s="992"/>
      <c r="DB2" s="989">
        <f>month(DB3)</f>
        <v>11</v>
      </c>
      <c r="DC2" s="990" t="s">
        <v>973</v>
      </c>
      <c r="DD2" s="991" t="s">
        <v>974</v>
      </c>
      <c r="DE2" s="992" t="s">
        <v>975</v>
      </c>
      <c r="DF2" s="992" t="s">
        <v>976</v>
      </c>
      <c r="DG2" s="992" t="s">
        <v>977</v>
      </c>
      <c r="DH2" s="993" t="s">
        <v>989</v>
      </c>
      <c r="DI2" s="992" t="s">
        <v>979</v>
      </c>
      <c r="DJ2" s="992" t="s">
        <v>980</v>
      </c>
      <c r="DK2" s="989"/>
      <c r="DL2" s="989">
        <f>month(DL3)</f>
        <v>12</v>
      </c>
      <c r="DM2" s="990" t="s">
        <v>973</v>
      </c>
      <c r="DN2" s="991" t="s">
        <v>974</v>
      </c>
      <c r="DO2" s="992" t="s">
        <v>975</v>
      </c>
      <c r="DP2" s="992" t="s">
        <v>976</v>
      </c>
      <c r="DQ2" s="992" t="s">
        <v>977</v>
      </c>
      <c r="DR2" s="993" t="s">
        <v>990</v>
      </c>
      <c r="DS2" s="992" t="s">
        <v>979</v>
      </c>
      <c r="DT2" s="992" t="s">
        <v>980</v>
      </c>
      <c r="DU2" s="989"/>
      <c r="DV2" s="989">
        <f>month(DV3)</f>
        <v>1</v>
      </c>
      <c r="DW2" s="990" t="s">
        <v>973</v>
      </c>
      <c r="DX2" s="991" t="s">
        <v>974</v>
      </c>
      <c r="DY2" s="992" t="s">
        <v>975</v>
      </c>
      <c r="DZ2" s="992" t="s">
        <v>976</v>
      </c>
      <c r="EA2" s="992" t="s">
        <v>977</v>
      </c>
      <c r="EB2" s="993" t="s">
        <v>991</v>
      </c>
      <c r="EC2" s="992" t="s">
        <v>979</v>
      </c>
      <c r="ED2" s="992" t="s">
        <v>980</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992</v>
      </c>
      <c r="D3" s="1002" t="s">
        <v>617</v>
      </c>
      <c r="E3" s="1002" t="s">
        <v>993</v>
      </c>
      <c r="F3" s="1003" t="s">
        <v>994</v>
      </c>
      <c r="G3" s="1004" t="s">
        <v>995</v>
      </c>
      <c r="H3" s="1005" t="s">
        <v>996</v>
      </c>
      <c r="I3" s="1002" t="s">
        <v>997</v>
      </c>
      <c r="J3" s="1002" t="s">
        <v>998</v>
      </c>
      <c r="K3" s="185"/>
      <c r="L3" s="1006" t="s">
        <v>96</v>
      </c>
      <c r="M3" s="1006" t="s">
        <v>586</v>
      </c>
      <c r="N3" s="185"/>
      <c r="O3" s="981"/>
      <c r="P3" s="1007">
        <v>46054.0</v>
      </c>
      <c r="Q3" s="1008" t="s">
        <v>80</v>
      </c>
      <c r="R3" s="1009" t="s">
        <v>992</v>
      </c>
      <c r="S3" s="1008" t="s">
        <v>617</v>
      </c>
      <c r="T3" s="1008" t="s">
        <v>999</v>
      </c>
      <c r="U3" s="1008" t="s">
        <v>1000</v>
      </c>
      <c r="V3" s="1008" t="s">
        <v>1001</v>
      </c>
      <c r="W3" s="1008" t="s">
        <v>1002</v>
      </c>
      <c r="X3" s="1008" t="s">
        <v>1003</v>
      </c>
      <c r="Y3" s="1010"/>
      <c r="Z3" s="1007">
        <v>46082.0</v>
      </c>
      <c r="AA3" s="1008" t="s">
        <v>80</v>
      </c>
      <c r="AB3" s="1009" t="s">
        <v>992</v>
      </c>
      <c r="AC3" s="1008" t="s">
        <v>617</v>
      </c>
      <c r="AD3" s="1008" t="s">
        <v>999</v>
      </c>
      <c r="AE3" s="1008" t="s">
        <v>1000</v>
      </c>
      <c r="AF3" s="1008" t="s">
        <v>1001</v>
      </c>
      <c r="AG3" s="1008" t="s">
        <v>1002</v>
      </c>
      <c r="AH3" s="1008" t="s">
        <v>1003</v>
      </c>
      <c r="AI3" s="1011"/>
      <c r="AJ3" s="1012">
        <v>46113.0</v>
      </c>
      <c r="AK3" s="1008" t="s">
        <v>80</v>
      </c>
      <c r="AL3" s="1009" t="s">
        <v>992</v>
      </c>
      <c r="AM3" s="1008" t="s">
        <v>617</v>
      </c>
      <c r="AN3" s="1008" t="s">
        <v>999</v>
      </c>
      <c r="AO3" s="1008" t="s">
        <v>1000</v>
      </c>
      <c r="AP3" s="1008" t="s">
        <v>1001</v>
      </c>
      <c r="AQ3" s="1008" t="s">
        <v>1002</v>
      </c>
      <c r="AR3" s="1008" t="s">
        <v>1003</v>
      </c>
      <c r="AS3" s="1010"/>
      <c r="AT3" s="1012">
        <v>46143.0</v>
      </c>
      <c r="AU3" s="1013" t="s">
        <v>80</v>
      </c>
      <c r="AV3" s="1014" t="s">
        <v>992</v>
      </c>
      <c r="AW3" s="1013" t="s">
        <v>617</v>
      </c>
      <c r="AX3" s="1013" t="s">
        <v>999</v>
      </c>
      <c r="AY3" s="1013" t="s">
        <v>1000</v>
      </c>
      <c r="AZ3" s="1013" t="s">
        <v>1001</v>
      </c>
      <c r="BA3" s="1013" t="s">
        <v>1002</v>
      </c>
      <c r="BB3" s="1013" t="s">
        <v>1003</v>
      </c>
      <c r="BC3" s="1010"/>
      <c r="BD3" s="1012">
        <v>46174.0</v>
      </c>
      <c r="BE3" s="1008" t="s">
        <v>80</v>
      </c>
      <c r="BF3" s="1009" t="s">
        <v>992</v>
      </c>
      <c r="BG3" s="1008" t="s">
        <v>617</v>
      </c>
      <c r="BH3" s="1008" t="s">
        <v>999</v>
      </c>
      <c r="BI3" s="1008" t="s">
        <v>1000</v>
      </c>
      <c r="BJ3" s="1008" t="s">
        <v>1001</v>
      </c>
      <c r="BK3" s="1008" t="s">
        <v>1002</v>
      </c>
      <c r="BL3" s="1008" t="s">
        <v>1003</v>
      </c>
      <c r="BM3" s="1011"/>
      <c r="BN3" s="1012">
        <v>46205.0</v>
      </c>
      <c r="BO3" s="1008" t="s">
        <v>80</v>
      </c>
      <c r="BP3" s="1009" t="s">
        <v>992</v>
      </c>
      <c r="BQ3" s="1008" t="s">
        <v>617</v>
      </c>
      <c r="BR3" s="1008" t="s">
        <v>999</v>
      </c>
      <c r="BS3" s="1008" t="s">
        <v>1000</v>
      </c>
      <c r="BT3" s="1008" t="s">
        <v>1001</v>
      </c>
      <c r="BU3" s="1008" t="s">
        <v>1002</v>
      </c>
      <c r="BV3" s="1008" t="s">
        <v>1003</v>
      </c>
      <c r="BW3" s="1010"/>
      <c r="BX3" s="1012">
        <v>46235.0</v>
      </c>
      <c r="BY3" s="1008" t="s">
        <v>80</v>
      </c>
      <c r="BZ3" s="1009" t="s">
        <v>992</v>
      </c>
      <c r="CA3" s="1008" t="s">
        <v>617</v>
      </c>
      <c r="CB3" s="1008" t="s">
        <v>999</v>
      </c>
      <c r="CC3" s="1008" t="s">
        <v>1000</v>
      </c>
      <c r="CD3" s="1008" t="s">
        <v>1001</v>
      </c>
      <c r="CE3" s="1008" t="s">
        <v>1002</v>
      </c>
      <c r="CF3" s="1008" t="s">
        <v>1003</v>
      </c>
      <c r="CG3" s="1010"/>
      <c r="CH3" s="1012">
        <v>46266.0</v>
      </c>
      <c r="CI3" s="1008" t="s">
        <v>80</v>
      </c>
      <c r="CJ3" s="1009" t="s">
        <v>992</v>
      </c>
      <c r="CK3" s="1008" t="s">
        <v>617</v>
      </c>
      <c r="CL3" s="1008" t="s">
        <v>999</v>
      </c>
      <c r="CM3" s="1008" t="s">
        <v>1000</v>
      </c>
      <c r="CN3" s="1008" t="s">
        <v>1001</v>
      </c>
      <c r="CO3" s="1008" t="s">
        <v>1002</v>
      </c>
      <c r="CP3" s="1008" t="s">
        <v>1003</v>
      </c>
      <c r="CQ3" s="1011"/>
      <c r="CR3" s="1012">
        <v>46296.0</v>
      </c>
      <c r="CS3" s="1008" t="s">
        <v>80</v>
      </c>
      <c r="CT3" s="1009" t="s">
        <v>992</v>
      </c>
      <c r="CU3" s="1008" t="s">
        <v>617</v>
      </c>
      <c r="CV3" s="1008" t="s">
        <v>999</v>
      </c>
      <c r="CW3" s="1008" t="s">
        <v>1000</v>
      </c>
      <c r="CX3" s="1008" t="s">
        <v>1001</v>
      </c>
      <c r="CY3" s="1008" t="s">
        <v>1002</v>
      </c>
      <c r="CZ3" s="1008" t="s">
        <v>1003</v>
      </c>
      <c r="DA3" s="1010"/>
      <c r="DB3" s="1012">
        <v>46327.0</v>
      </c>
      <c r="DC3" s="1008" t="s">
        <v>80</v>
      </c>
      <c r="DD3" s="1009" t="s">
        <v>992</v>
      </c>
      <c r="DE3" s="1008" t="s">
        <v>617</v>
      </c>
      <c r="DF3" s="1008" t="s">
        <v>999</v>
      </c>
      <c r="DG3" s="1008" t="s">
        <v>1000</v>
      </c>
      <c r="DH3" s="1008" t="s">
        <v>1001</v>
      </c>
      <c r="DI3" s="1008" t="s">
        <v>1002</v>
      </c>
      <c r="DJ3" s="1008" t="s">
        <v>1003</v>
      </c>
      <c r="DK3" s="1010"/>
      <c r="DL3" s="1012">
        <v>46357.0</v>
      </c>
      <c r="DM3" s="1008" t="s">
        <v>80</v>
      </c>
      <c r="DN3" s="1009" t="s">
        <v>992</v>
      </c>
      <c r="DO3" s="1008" t="s">
        <v>617</v>
      </c>
      <c r="DP3" s="1008" t="s">
        <v>999</v>
      </c>
      <c r="DQ3" s="1008" t="s">
        <v>1000</v>
      </c>
      <c r="DR3" s="1008" t="s">
        <v>1001</v>
      </c>
      <c r="DS3" s="1008" t="s">
        <v>1002</v>
      </c>
      <c r="DT3" s="1008" t="s">
        <v>1003</v>
      </c>
      <c r="DU3" s="1010"/>
      <c r="DV3" s="1012">
        <v>46388.0</v>
      </c>
      <c r="DW3" s="1008" t="s">
        <v>80</v>
      </c>
      <c r="DX3" s="1009" t="s">
        <v>992</v>
      </c>
      <c r="DY3" s="1008" t="s">
        <v>617</v>
      </c>
      <c r="DZ3" s="1008" t="s">
        <v>999</v>
      </c>
      <c r="EA3" s="1008" t="s">
        <v>1000</v>
      </c>
      <c r="EB3" s="1008" t="s">
        <v>1001</v>
      </c>
      <c r="EC3" s="1008" t="s">
        <v>1002</v>
      </c>
      <c r="ED3" s="1008" t="s">
        <v>1003</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t="str">
        <f t="array" ref="B4:B200">xlookup(month(today()),P2:DV2,Q4:DW200)</f>
        <v>#N/A</v>
      </c>
      <c r="C4" s="1017" t="str">
        <f t="array" ref="C4:C200">xlookup(month(today()),P2:DV2,R4:DX200)</f>
        <v>#N/A</v>
      </c>
      <c r="D4" s="1018" t="str">
        <f t="array" ref="D4:D200">xlookup(month(today()),P2:DV2,S4:DY200)</f>
        <v>#N/A</v>
      </c>
      <c r="E4" s="1018" t="str">
        <f t="array" ref="E4:E200">xlookup(month(today()),P2:DV2,T4:DZ200)</f>
        <v>#N/A</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0" t="str">
        <f t="shared" ref="G4:G299" si="3">if(C4="","",if(H4=0,"該当","非該当"))</f>
        <v>#N/A</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0</v>
      </c>
      <c r="J4" s="1022">
        <f t="shared" si="1"/>
        <v>0</v>
      </c>
      <c r="K4" s="1015"/>
      <c r="L4" s="213" t="str">
        <f t="array" ref="L4">IFERROR(INDEX('💻シート作成'!$D$6:$D999, MATCH(M4, '💻シート作成'!$E$6:$E999, 0)), "")</f>
        <v/>
      </c>
      <c r="M4" s="155" t="str">
        <f>IFERROR(__xludf.DUMMYFUNCTION("filter('💻シート作成'!E6:E999,'💻シート作成'!E6:E999&lt;&gt;"""")"),"💭口コミ")</f>
        <v>💭口コミ</v>
      </c>
      <c r="N4" s="1015"/>
      <c r="O4" s="1023"/>
      <c r="P4" s="1024" t="s">
        <v>1004</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IFERROR(__xludf.DUMMYFUNCTION("IMPORTRANGE($P$6,$P$4&amp;AA$2)"),616.0)</f>
        <v>616</v>
      </c>
      <c r="AB4" s="1026" t="str">
        <f>IFERROR(__xludf.DUMMYFUNCTION("IMPORTRANGE($P$6,$P$4&amp;AB$2)"),"カノン")</f>
        <v>カノン</v>
      </c>
      <c r="AC4" s="213" t="str">
        <f>IFERROR(__xludf.DUMMYFUNCTION("IMPORTRANGE($P$6,$P$4&amp;AC$2)"),"メイド")</f>
        <v>メイド</v>
      </c>
      <c r="AD4" s="213" t="str">
        <f>IFERROR(__xludf.DUMMYFUNCTION("IMPORTRANGE($P$6,$P$4&amp;AD$2)"),"歩+時")</f>
        <v>歩+時</v>
      </c>
      <c r="AE4" s="1027">
        <f>IFERROR(__xludf.DUMMYFUNCTION("IMPORTRANGE($P$6,$P$4&amp;AE$2)"),12.0)</f>
        <v>12</v>
      </c>
      <c r="AF4" s="213">
        <f t="shared" ref="AF4:AF299" si="6">COUNTIF(INDIRECT(AF$2 &amp; "L9:L"), AB4)</f>
        <v>0</v>
      </c>
      <c r="AG4" s="1028">
        <f>IFERROR(__xludf.DUMMYFUNCTION("IMPORTRANGE($P$6,$P$4&amp;AG$2)"),67.75)</f>
        <v>67.75</v>
      </c>
      <c r="AH4" s="213">
        <f>IFERROR(__xludf.DUMMYFUNCTION("IMPORTRANGE($P$6,$P$4&amp;AH$2)"),80.0)</f>
        <v>80</v>
      </c>
      <c r="AI4" s="1015"/>
      <c r="AJ4" s="1031" t="str">
        <f>$P$7</f>
        <v/>
      </c>
      <c r="AK4" s="1025" t="str">
        <f>IFERROR(__xludf.DUMMYFUNCTION("IMPORTRANGE($P$7,$P$4&amp;AK$2)"),"#N/A")</f>
        <v>#N/A</v>
      </c>
      <c r="AL4" s="424"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4"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4"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4"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4"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4"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4"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4"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4"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c r="C5" s="1017"/>
      <c r="D5" s="1018"/>
      <c r="E5" s="1018"/>
      <c r="F5" s="1019">
        <f t="shared" si="2"/>
        <v>0</v>
      </c>
      <c r="G5" s="1020" t="str">
        <f t="shared" si="3"/>
        <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0</v>
      </c>
      <c r="J5" s="1022">
        <f t="shared" si="4"/>
        <v>0</v>
      </c>
      <c r="K5" s="185"/>
      <c r="L5" s="213" t="str">
        <f t="array" ref="L5">IFERROR(INDEX('💻シート作成'!$D$6:$D999, MATCH(M5, '💻シート作成'!$E$6:$E999, 0)), "")</f>
        <v/>
      </c>
      <c r="M5" s="908" t="str">
        <f>IFERROR(__xludf.DUMMYFUNCTION("""COMPUTED_VALUE"""),"🔵クレーム")</f>
        <v>🔵クレーム</v>
      </c>
      <c r="N5" s="185"/>
      <c r="O5" s="1035">
        <v>2.0</v>
      </c>
      <c r="P5" s="1036" t="s">
        <v>1005</v>
      </c>
      <c r="Q5" s="1025">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IFERROR(__xludf.DUMMYFUNCTION("""COMPUTED_VALUE"""),641.0)</f>
        <v>641</v>
      </c>
      <c r="AB5" s="164" t="str">
        <f>IFERROR(__xludf.DUMMYFUNCTION("""COMPUTED_VALUE"""),"長澤")</f>
        <v>長澤</v>
      </c>
      <c r="AC5" s="907" t="str">
        <f>IFERROR(__xludf.DUMMYFUNCTION("""COMPUTED_VALUE"""),"チェッカー")</f>
        <v>チェッカー</v>
      </c>
      <c r="AD5" s="907" t="str">
        <f>IFERROR(__xludf.DUMMYFUNCTION("""COMPUTED_VALUE"""),"時給")</f>
        <v>時給</v>
      </c>
      <c r="AE5" s="1027">
        <f>IFERROR(__xludf.DUMMYFUNCTION("""COMPUTED_VALUE"""),21.0)</f>
        <v>21</v>
      </c>
      <c r="AF5" s="213">
        <f t="shared" si="6"/>
        <v>0</v>
      </c>
      <c r="AG5" s="1028">
        <f>IFERROR(__xludf.DUMMYFUNCTION("""COMPUTED_VALUE"""),118.0)</f>
        <v>118</v>
      </c>
      <c r="AH5" s="213">
        <f>IFERROR(__xludf.DUMMYFUNCTION("""COMPUTED_VALUE"""),0.0)</f>
        <v>0</v>
      </c>
      <c r="AI5" s="185"/>
      <c r="AJ5" s="490"/>
      <c r="AK5" s="1025"/>
      <c r="AL5" s="165"/>
      <c r="AM5" s="907"/>
      <c r="AN5" s="907"/>
      <c r="AO5" s="1027"/>
      <c r="AP5" s="213">
        <f t="shared" si="7"/>
        <v>0</v>
      </c>
      <c r="AQ5" s="1028"/>
      <c r="AR5" s="213"/>
      <c r="AS5" s="208"/>
      <c r="AT5" s="490"/>
      <c r="AU5" s="1032"/>
      <c r="AV5" s="1037"/>
      <c r="AW5" s="1038"/>
      <c r="AX5" s="1038"/>
      <c r="AY5" s="1039"/>
      <c r="AZ5" s="1034">
        <f t="shared" si="8"/>
        <v>0</v>
      </c>
      <c r="BA5" s="1040"/>
      <c r="BB5" s="1034"/>
      <c r="BC5" s="185"/>
      <c r="BD5" s="490"/>
      <c r="BE5" s="1025"/>
      <c r="BF5" s="165"/>
      <c r="BG5" s="907"/>
      <c r="BH5" s="907"/>
      <c r="BI5" s="1027"/>
      <c r="BJ5" s="213">
        <f t="shared" si="9"/>
        <v>0</v>
      </c>
      <c r="BK5" s="1028"/>
      <c r="BL5" s="213"/>
      <c r="BM5" s="185"/>
      <c r="BN5" s="490"/>
      <c r="BO5" s="1025"/>
      <c r="BP5" s="165"/>
      <c r="BQ5" s="907"/>
      <c r="BR5" s="907"/>
      <c r="BS5" s="1027"/>
      <c r="BT5" s="213">
        <f t="shared" si="10"/>
        <v>0</v>
      </c>
      <c r="BU5" s="1028"/>
      <c r="BV5" s="213"/>
      <c r="BW5" s="208"/>
      <c r="BX5" s="490"/>
      <c r="BY5" s="1025"/>
      <c r="BZ5" s="165"/>
      <c r="CA5" s="907"/>
      <c r="CB5" s="907"/>
      <c r="CC5" s="1027"/>
      <c r="CD5" s="213">
        <f t="shared" si="11"/>
        <v>0</v>
      </c>
      <c r="CE5" s="1028"/>
      <c r="CF5" s="213"/>
      <c r="CG5" s="185"/>
      <c r="CH5" s="490"/>
      <c r="CI5" s="1025"/>
      <c r="CJ5" s="165"/>
      <c r="CK5" s="907"/>
      <c r="CL5" s="907"/>
      <c r="CM5" s="1027"/>
      <c r="CN5" s="213">
        <f t="shared" si="12"/>
        <v>0</v>
      </c>
      <c r="CO5" s="1028"/>
      <c r="CP5" s="213"/>
      <c r="CQ5" s="185"/>
      <c r="CR5" s="490"/>
      <c r="CS5" s="1025"/>
      <c r="CT5" s="165"/>
      <c r="CU5" s="907"/>
      <c r="CV5" s="907"/>
      <c r="CW5" s="1027"/>
      <c r="CX5" s="213">
        <f t="shared" si="13"/>
        <v>0</v>
      </c>
      <c r="CY5" s="1028"/>
      <c r="CZ5" s="213"/>
      <c r="DA5" s="208"/>
      <c r="DB5" s="490"/>
      <c r="DC5" s="1025"/>
      <c r="DD5" s="165"/>
      <c r="DE5" s="907"/>
      <c r="DF5" s="907"/>
      <c r="DG5" s="1027"/>
      <c r="DH5" s="213">
        <f t="shared" si="14"/>
        <v>0</v>
      </c>
      <c r="DI5" s="1028"/>
      <c r="DJ5" s="213"/>
      <c r="DK5" s="185"/>
      <c r="DL5" s="490"/>
      <c r="DM5" s="1025"/>
      <c r="DN5" s="165"/>
      <c r="DO5" s="907"/>
      <c r="DP5" s="907"/>
      <c r="DQ5" s="1027"/>
      <c r="DR5" s="213">
        <f t="shared" si="15"/>
        <v>0</v>
      </c>
      <c r="DS5" s="1028"/>
      <c r="DT5" s="213"/>
      <c r="DU5" s="185"/>
      <c r="DV5" s="490"/>
      <c r="DW5" s="1025"/>
      <c r="DX5" s="165"/>
      <c r="DY5" s="907"/>
      <c r="DZ5" s="907"/>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c r="C6" s="1017"/>
      <c r="D6" s="1018"/>
      <c r="E6" s="1018"/>
      <c r="F6" s="1019">
        <f t="shared" si="2"/>
        <v>0</v>
      </c>
      <c r="G6" s="1020" t="str">
        <f t="shared" si="3"/>
        <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0</v>
      </c>
      <c r="J6" s="1022">
        <f t="shared" si="17"/>
        <v>0</v>
      </c>
      <c r="K6" s="185"/>
      <c r="L6" s="213" t="str">
        <f t="array" ref="L6">IFERROR(INDEX('💻シート作成'!$D$6:$D999, MATCH(M6, '💻シート作成'!$E$6:$E999, 0)), "")</f>
        <v/>
      </c>
      <c r="M6" s="913" t="str">
        <f>IFERROR(__xludf.DUMMYFUNCTION("""COMPUTED_VALUE"""),"✅安全チェック")</f>
        <v>✅安全チェック</v>
      </c>
      <c r="N6" s="185"/>
      <c r="O6" s="1035">
        <v>3.0</v>
      </c>
      <c r="P6" s="1041" t="s">
        <v>1006</v>
      </c>
      <c r="Q6" s="1025">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IFERROR(__xludf.DUMMYFUNCTION("""COMPUTED_VALUE"""),649.0)</f>
        <v>649</v>
      </c>
      <c r="AB6" s="164" t="str">
        <f>IFERROR(__xludf.DUMMYFUNCTION("""COMPUTED_VALUE"""),"マハルジャン")</f>
        <v>マハルジャン</v>
      </c>
      <c r="AC6" s="907" t="str">
        <f>IFERROR(__xludf.DUMMYFUNCTION("""COMPUTED_VALUE"""),"メイド")</f>
        <v>メイド</v>
      </c>
      <c r="AD6" s="907" t="str">
        <f>IFERROR(__xludf.DUMMYFUNCTION("""COMPUTED_VALUE"""),"歩合")</f>
        <v>歩合</v>
      </c>
      <c r="AE6" s="1027">
        <f>IFERROR(__xludf.DUMMYFUNCTION("""COMPUTED_VALUE"""),12.0)</f>
        <v>12</v>
      </c>
      <c r="AF6" s="213">
        <f t="shared" si="6"/>
        <v>0</v>
      </c>
      <c r="AG6" s="1028">
        <f>IFERROR(__xludf.DUMMYFUNCTION("""COMPUTED_VALUE"""),64.61666666666666)</f>
        <v>64.61666667</v>
      </c>
      <c r="AH6" s="213">
        <f>IFERROR(__xludf.DUMMYFUNCTION("""COMPUTED_VALUE"""),105.0)</f>
        <v>105</v>
      </c>
      <c r="AI6" s="185"/>
      <c r="AJ6" s="185"/>
      <c r="AK6" s="1025"/>
      <c r="AL6" s="165"/>
      <c r="AM6" s="907"/>
      <c r="AN6" s="907"/>
      <c r="AO6" s="1027"/>
      <c r="AP6" s="213">
        <f t="shared" si="7"/>
        <v>0</v>
      </c>
      <c r="AQ6" s="1028"/>
      <c r="AR6" s="213"/>
      <c r="AS6" s="208"/>
      <c r="AT6" s="185"/>
      <c r="AU6" s="1032"/>
      <c r="AV6" s="1037"/>
      <c r="AW6" s="1038"/>
      <c r="AX6" s="1038"/>
      <c r="AY6" s="1039"/>
      <c r="AZ6" s="1034">
        <f t="shared" si="8"/>
        <v>0</v>
      </c>
      <c r="BA6" s="1040"/>
      <c r="BB6" s="1034"/>
      <c r="BC6" s="185"/>
      <c r="BD6" s="185"/>
      <c r="BE6" s="1025"/>
      <c r="BF6" s="165"/>
      <c r="BG6" s="907"/>
      <c r="BH6" s="907"/>
      <c r="BI6" s="1027"/>
      <c r="BJ6" s="213">
        <f t="shared" si="9"/>
        <v>0</v>
      </c>
      <c r="BK6" s="1028"/>
      <c r="BL6" s="213"/>
      <c r="BM6" s="185"/>
      <c r="BN6" s="185"/>
      <c r="BO6" s="1025"/>
      <c r="BP6" s="165"/>
      <c r="BQ6" s="907"/>
      <c r="BR6" s="907"/>
      <c r="BS6" s="1027"/>
      <c r="BT6" s="213">
        <f t="shared" si="10"/>
        <v>0</v>
      </c>
      <c r="BU6" s="1028"/>
      <c r="BV6" s="213"/>
      <c r="BW6" s="208"/>
      <c r="BX6" s="185"/>
      <c r="BY6" s="1025"/>
      <c r="BZ6" s="165"/>
      <c r="CA6" s="907"/>
      <c r="CB6" s="907"/>
      <c r="CC6" s="1027"/>
      <c r="CD6" s="213">
        <f t="shared" si="11"/>
        <v>0</v>
      </c>
      <c r="CE6" s="1028"/>
      <c r="CF6" s="213"/>
      <c r="CG6" s="185"/>
      <c r="CH6" s="185"/>
      <c r="CI6" s="1025"/>
      <c r="CJ6" s="165"/>
      <c r="CK6" s="907"/>
      <c r="CL6" s="907"/>
      <c r="CM6" s="1027"/>
      <c r="CN6" s="213">
        <f t="shared" si="12"/>
        <v>0</v>
      </c>
      <c r="CO6" s="1028"/>
      <c r="CP6" s="213"/>
      <c r="CQ6" s="185"/>
      <c r="CR6" s="185"/>
      <c r="CS6" s="1025"/>
      <c r="CT6" s="165"/>
      <c r="CU6" s="907"/>
      <c r="CV6" s="907"/>
      <c r="CW6" s="1027"/>
      <c r="CX6" s="213">
        <f t="shared" si="13"/>
        <v>0</v>
      </c>
      <c r="CY6" s="1028"/>
      <c r="CZ6" s="213"/>
      <c r="DA6" s="208"/>
      <c r="DB6" s="185"/>
      <c r="DC6" s="1025"/>
      <c r="DD6" s="165"/>
      <c r="DE6" s="907"/>
      <c r="DF6" s="907"/>
      <c r="DG6" s="1027"/>
      <c r="DH6" s="213">
        <f t="shared" si="14"/>
        <v>0</v>
      </c>
      <c r="DI6" s="1028"/>
      <c r="DJ6" s="213"/>
      <c r="DK6" s="185"/>
      <c r="DL6" s="185"/>
      <c r="DM6" s="1025"/>
      <c r="DN6" s="165"/>
      <c r="DO6" s="907"/>
      <c r="DP6" s="907"/>
      <c r="DQ6" s="1027"/>
      <c r="DR6" s="213">
        <f t="shared" si="15"/>
        <v>0</v>
      </c>
      <c r="DS6" s="1028"/>
      <c r="DT6" s="213"/>
      <c r="DU6" s="185"/>
      <c r="DV6" s="185"/>
      <c r="DW6" s="1025"/>
      <c r="DX6" s="165"/>
      <c r="DY6" s="907"/>
      <c r="DZ6" s="907"/>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c r="C7" s="1017"/>
      <c r="D7" s="1018"/>
      <c r="E7" s="1018"/>
      <c r="F7" s="1019">
        <f t="shared" si="2"/>
        <v>0</v>
      </c>
      <c r="G7" s="1020" t="str">
        <f t="shared" si="3"/>
        <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1">
        <f t="shared" si="18"/>
        <v>0</v>
      </c>
      <c r="J7" s="1022">
        <f t="shared" si="18"/>
        <v>0</v>
      </c>
      <c r="K7" s="185"/>
      <c r="L7" s="213" t="str">
        <f t="array" ref="L7">IFERROR(INDEX('💻シート作成'!$D$6:$D999, MATCH(M7, '💻シート作成'!$E$6:$E999, 0)), "")</f>
        <v>1月</v>
      </c>
      <c r="M7" s="913"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IFERROR(__xludf.DUMMYFUNCTION("""COMPUTED_VALUE"""),657.0)</f>
        <v>657</v>
      </c>
      <c r="AB7" s="164" t="str">
        <f>IFERROR(__xludf.DUMMYFUNCTION("""COMPUTED_VALUE"""),"ジョティ")</f>
        <v>ジョティ</v>
      </c>
      <c r="AC7" s="907" t="str">
        <f>IFERROR(__xludf.DUMMYFUNCTION("""COMPUTED_VALUE"""),"メイド")</f>
        <v>メイド</v>
      </c>
      <c r="AD7" s="907" t="str">
        <f>IFERROR(__xludf.DUMMYFUNCTION("""COMPUTED_VALUE"""),"歩合")</f>
        <v>歩合</v>
      </c>
      <c r="AE7" s="1027">
        <f>IFERROR(__xludf.DUMMYFUNCTION("""COMPUTED_VALUE"""),25.0)</f>
        <v>25</v>
      </c>
      <c r="AF7" s="213">
        <f t="shared" si="6"/>
        <v>0</v>
      </c>
      <c r="AG7" s="1028">
        <f>IFERROR(__xludf.DUMMYFUNCTION("""COMPUTED_VALUE"""),134.18333333333334)</f>
        <v>134.1833333</v>
      </c>
      <c r="AH7" s="213">
        <f>IFERROR(__xludf.DUMMYFUNCTION("""COMPUTED_VALUE"""),231.0)</f>
        <v>231</v>
      </c>
      <c r="AI7" s="185"/>
      <c r="AJ7" s="185"/>
      <c r="AK7" s="1025"/>
      <c r="AL7" s="165"/>
      <c r="AM7" s="907"/>
      <c r="AN7" s="907"/>
      <c r="AO7" s="1027"/>
      <c r="AP7" s="213">
        <f t="shared" si="7"/>
        <v>0</v>
      </c>
      <c r="AQ7" s="1028"/>
      <c r="AR7" s="213"/>
      <c r="AS7" s="208"/>
      <c r="AT7" s="185"/>
      <c r="AU7" s="1032"/>
      <c r="AV7" s="1037"/>
      <c r="AW7" s="1038"/>
      <c r="AX7" s="1038"/>
      <c r="AY7" s="1039"/>
      <c r="AZ7" s="1034">
        <f t="shared" si="8"/>
        <v>0</v>
      </c>
      <c r="BA7" s="1040"/>
      <c r="BB7" s="1034"/>
      <c r="BC7" s="185"/>
      <c r="BD7" s="185"/>
      <c r="BE7" s="1025"/>
      <c r="BF7" s="165"/>
      <c r="BG7" s="907"/>
      <c r="BH7" s="907"/>
      <c r="BI7" s="1027"/>
      <c r="BJ7" s="213">
        <f t="shared" si="9"/>
        <v>0</v>
      </c>
      <c r="BK7" s="1028"/>
      <c r="BL7" s="213"/>
      <c r="BM7" s="185"/>
      <c r="BN7" s="185"/>
      <c r="BO7" s="1025"/>
      <c r="BP7" s="165"/>
      <c r="BQ7" s="907"/>
      <c r="BR7" s="907"/>
      <c r="BS7" s="1027"/>
      <c r="BT7" s="213">
        <f t="shared" si="10"/>
        <v>0</v>
      </c>
      <c r="BU7" s="1028"/>
      <c r="BV7" s="213"/>
      <c r="BW7" s="208"/>
      <c r="BX7" s="185"/>
      <c r="BY7" s="1025"/>
      <c r="BZ7" s="165"/>
      <c r="CA7" s="907"/>
      <c r="CB7" s="907"/>
      <c r="CC7" s="1027"/>
      <c r="CD7" s="213">
        <f t="shared" si="11"/>
        <v>0</v>
      </c>
      <c r="CE7" s="1028"/>
      <c r="CF7" s="213"/>
      <c r="CG7" s="185"/>
      <c r="CH7" s="185"/>
      <c r="CI7" s="1025"/>
      <c r="CJ7" s="165"/>
      <c r="CK7" s="907"/>
      <c r="CL7" s="907"/>
      <c r="CM7" s="1027"/>
      <c r="CN7" s="213">
        <f t="shared" si="12"/>
        <v>0</v>
      </c>
      <c r="CO7" s="1028"/>
      <c r="CP7" s="213"/>
      <c r="CQ7" s="185"/>
      <c r="CR7" s="185"/>
      <c r="CS7" s="1025"/>
      <c r="CT7" s="165"/>
      <c r="CU7" s="907"/>
      <c r="CV7" s="907"/>
      <c r="CW7" s="1027"/>
      <c r="CX7" s="213">
        <f t="shared" si="13"/>
        <v>0</v>
      </c>
      <c r="CY7" s="1028"/>
      <c r="CZ7" s="213"/>
      <c r="DA7" s="208"/>
      <c r="DB7" s="185"/>
      <c r="DC7" s="1025"/>
      <c r="DD7" s="165"/>
      <c r="DE7" s="907"/>
      <c r="DF7" s="907"/>
      <c r="DG7" s="1027"/>
      <c r="DH7" s="213">
        <f t="shared" si="14"/>
        <v>0</v>
      </c>
      <c r="DI7" s="1028"/>
      <c r="DJ7" s="213"/>
      <c r="DK7" s="185"/>
      <c r="DL7" s="185"/>
      <c r="DM7" s="1025"/>
      <c r="DN7" s="165"/>
      <c r="DO7" s="907"/>
      <c r="DP7" s="907"/>
      <c r="DQ7" s="1027"/>
      <c r="DR7" s="213">
        <f t="shared" si="15"/>
        <v>0</v>
      </c>
      <c r="DS7" s="1028"/>
      <c r="DT7" s="213"/>
      <c r="DU7" s="185"/>
      <c r="DV7" s="185"/>
      <c r="DW7" s="1025"/>
      <c r="DX7" s="165"/>
      <c r="DY7" s="907"/>
      <c r="DZ7" s="907"/>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c r="C8" s="1017"/>
      <c r="D8" s="1018"/>
      <c r="E8" s="1018"/>
      <c r="F8" s="1019">
        <f t="shared" si="2"/>
        <v>0</v>
      </c>
      <c r="G8" s="1020" t="str">
        <f t="shared" si="3"/>
        <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0</v>
      </c>
      <c r="J8" s="1022">
        <f t="shared" si="19"/>
        <v>0</v>
      </c>
      <c r="K8" s="185"/>
      <c r="L8" s="213" t="str">
        <f t="array" ref="L8">IFERROR(INDEX('💻シート作成'!$D$6:$D999, MATCH(M8, '💻シート作成'!$E$6:$E999, 0)), "")</f>
        <v>1月</v>
      </c>
      <c r="M8" s="913"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IFERROR(__xludf.DUMMYFUNCTION("""COMPUTED_VALUE"""),658.0)</f>
        <v>658</v>
      </c>
      <c r="AB8" s="164" t="str">
        <f>IFERROR(__xludf.DUMMYFUNCTION("""COMPUTED_VALUE"""),"ティラタ")</f>
        <v>ティラタ</v>
      </c>
      <c r="AC8" s="907" t="str">
        <f>IFERROR(__xludf.DUMMYFUNCTION("""COMPUTED_VALUE"""),"メイド")</f>
        <v>メイド</v>
      </c>
      <c r="AD8" s="907" t="str">
        <f>IFERROR(__xludf.DUMMYFUNCTION("""COMPUTED_VALUE"""),"歩合")</f>
        <v>歩合</v>
      </c>
      <c r="AE8" s="1027">
        <f>IFERROR(__xludf.DUMMYFUNCTION("""COMPUTED_VALUE"""),17.0)</f>
        <v>17</v>
      </c>
      <c r="AF8" s="213">
        <f t="shared" si="6"/>
        <v>0</v>
      </c>
      <c r="AG8" s="1028">
        <f>IFERROR(__xludf.DUMMYFUNCTION("""COMPUTED_VALUE"""),96.61666666666666)</f>
        <v>96.61666667</v>
      </c>
      <c r="AH8" s="213">
        <f>IFERROR(__xludf.DUMMYFUNCTION("""COMPUTED_VALUE"""),154.0)</f>
        <v>154</v>
      </c>
      <c r="AI8" s="185"/>
      <c r="AJ8" s="185"/>
      <c r="AK8" s="1025"/>
      <c r="AL8" s="165"/>
      <c r="AM8" s="907"/>
      <c r="AN8" s="907"/>
      <c r="AO8" s="1027"/>
      <c r="AP8" s="213">
        <f t="shared" si="7"/>
        <v>0</v>
      </c>
      <c r="AQ8" s="1028"/>
      <c r="AR8" s="213"/>
      <c r="AS8" s="208"/>
      <c r="AT8" s="185"/>
      <c r="AU8" s="1032"/>
      <c r="AV8" s="1037"/>
      <c r="AW8" s="1038"/>
      <c r="AX8" s="1038"/>
      <c r="AY8" s="1039"/>
      <c r="AZ8" s="1034">
        <f t="shared" si="8"/>
        <v>0</v>
      </c>
      <c r="BA8" s="1040"/>
      <c r="BB8" s="1034"/>
      <c r="BC8" s="185"/>
      <c r="BD8" s="185"/>
      <c r="BE8" s="1025"/>
      <c r="BF8" s="165"/>
      <c r="BG8" s="907"/>
      <c r="BH8" s="907"/>
      <c r="BI8" s="1027"/>
      <c r="BJ8" s="213">
        <f t="shared" si="9"/>
        <v>0</v>
      </c>
      <c r="BK8" s="1028"/>
      <c r="BL8" s="213"/>
      <c r="BM8" s="185"/>
      <c r="BN8" s="185"/>
      <c r="BO8" s="1025"/>
      <c r="BP8" s="165"/>
      <c r="BQ8" s="907"/>
      <c r="BR8" s="907"/>
      <c r="BS8" s="1027"/>
      <c r="BT8" s="213">
        <f t="shared" si="10"/>
        <v>0</v>
      </c>
      <c r="BU8" s="1028"/>
      <c r="BV8" s="213"/>
      <c r="BW8" s="208"/>
      <c r="BX8" s="185"/>
      <c r="BY8" s="1025"/>
      <c r="BZ8" s="165"/>
      <c r="CA8" s="907"/>
      <c r="CB8" s="907"/>
      <c r="CC8" s="1027"/>
      <c r="CD8" s="213">
        <f t="shared" si="11"/>
        <v>0</v>
      </c>
      <c r="CE8" s="1028"/>
      <c r="CF8" s="213"/>
      <c r="CG8" s="185"/>
      <c r="CH8" s="185"/>
      <c r="CI8" s="1025"/>
      <c r="CJ8" s="165"/>
      <c r="CK8" s="907"/>
      <c r="CL8" s="907"/>
      <c r="CM8" s="1027"/>
      <c r="CN8" s="213">
        <f t="shared" si="12"/>
        <v>0</v>
      </c>
      <c r="CO8" s="1028"/>
      <c r="CP8" s="213"/>
      <c r="CQ8" s="185"/>
      <c r="CR8" s="185"/>
      <c r="CS8" s="1025"/>
      <c r="CT8" s="165"/>
      <c r="CU8" s="907"/>
      <c r="CV8" s="907"/>
      <c r="CW8" s="1027"/>
      <c r="CX8" s="213">
        <f t="shared" si="13"/>
        <v>0</v>
      </c>
      <c r="CY8" s="1028"/>
      <c r="CZ8" s="213"/>
      <c r="DA8" s="208"/>
      <c r="DB8" s="185"/>
      <c r="DC8" s="1025"/>
      <c r="DD8" s="165"/>
      <c r="DE8" s="907"/>
      <c r="DF8" s="907"/>
      <c r="DG8" s="1027"/>
      <c r="DH8" s="213">
        <f t="shared" si="14"/>
        <v>0</v>
      </c>
      <c r="DI8" s="1028"/>
      <c r="DJ8" s="213"/>
      <c r="DK8" s="185"/>
      <c r="DL8" s="185"/>
      <c r="DM8" s="1025"/>
      <c r="DN8" s="165"/>
      <c r="DO8" s="907"/>
      <c r="DP8" s="907"/>
      <c r="DQ8" s="1027"/>
      <c r="DR8" s="213">
        <f t="shared" si="15"/>
        <v>0</v>
      </c>
      <c r="DS8" s="1028"/>
      <c r="DT8" s="213"/>
      <c r="DU8" s="185"/>
      <c r="DV8" s="185"/>
      <c r="DW8" s="1025"/>
      <c r="DX8" s="165"/>
      <c r="DY8" s="907"/>
      <c r="DZ8" s="907"/>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c r="C9" s="1017"/>
      <c r="D9" s="1018"/>
      <c r="E9" s="1018"/>
      <c r="F9" s="1019">
        <f t="shared" si="2"/>
        <v>0</v>
      </c>
      <c r="G9" s="1020" t="str">
        <f t="shared" si="3"/>
        <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0</v>
      </c>
      <c r="J9" s="1022">
        <f t="shared" si="20"/>
        <v>0</v>
      </c>
      <c r="K9" s="185"/>
      <c r="L9" s="213" t="str">
        <f t="array" ref="L9">IFERROR(INDEX('💻シート作成'!$D$6:$D999, MATCH(M9, '💻シート作成'!$E$6:$E999, 0)), "")</f>
        <v>1月</v>
      </c>
      <c r="M9" s="908"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IFERROR(__xludf.DUMMYFUNCTION("""COMPUTED_VALUE"""),691.0)</f>
        <v>691</v>
      </c>
      <c r="AB9" s="164" t="str">
        <f>IFERROR(__xludf.DUMMYFUNCTION("""COMPUTED_VALUE"""),"キソル")</f>
        <v>キソル</v>
      </c>
      <c r="AC9" s="907" t="str">
        <f>IFERROR(__xludf.DUMMYFUNCTION("""COMPUTED_VALUE"""),"チェッカー")</f>
        <v>チェッカー</v>
      </c>
      <c r="AD9" s="907" t="str">
        <f>IFERROR(__xludf.DUMMYFUNCTION("""COMPUTED_VALUE"""),"時給")</f>
        <v>時給</v>
      </c>
      <c r="AE9" s="1027">
        <f>IFERROR(__xludf.DUMMYFUNCTION("""COMPUTED_VALUE"""),9.0)</f>
        <v>9</v>
      </c>
      <c r="AF9" s="213">
        <f t="shared" si="6"/>
        <v>0</v>
      </c>
      <c r="AG9" s="1028">
        <f>IFERROR(__xludf.DUMMYFUNCTION("""COMPUTED_VALUE"""),59.5)</f>
        <v>59.5</v>
      </c>
      <c r="AH9" s="213">
        <f>IFERROR(__xludf.DUMMYFUNCTION("""COMPUTED_VALUE"""),0.0)</f>
        <v>0</v>
      </c>
      <c r="AI9" s="185"/>
      <c r="AJ9" s="185"/>
      <c r="AK9" s="1025"/>
      <c r="AL9" s="165"/>
      <c r="AM9" s="907"/>
      <c r="AN9" s="907"/>
      <c r="AO9" s="1027"/>
      <c r="AP9" s="213">
        <f t="shared" si="7"/>
        <v>0</v>
      </c>
      <c r="AQ9" s="1028"/>
      <c r="AR9" s="213"/>
      <c r="AS9" s="208"/>
      <c r="AT9" s="185"/>
      <c r="AU9" s="1032"/>
      <c r="AV9" s="1037"/>
      <c r="AW9" s="1038"/>
      <c r="AX9" s="1038"/>
      <c r="AY9" s="1039"/>
      <c r="AZ9" s="1034">
        <f t="shared" si="8"/>
        <v>0</v>
      </c>
      <c r="BA9" s="1040"/>
      <c r="BB9" s="1034"/>
      <c r="BC9" s="185"/>
      <c r="BD9" s="185"/>
      <c r="BE9" s="1025"/>
      <c r="BF9" s="165"/>
      <c r="BG9" s="907"/>
      <c r="BH9" s="907"/>
      <c r="BI9" s="1027"/>
      <c r="BJ9" s="213">
        <f t="shared" si="9"/>
        <v>0</v>
      </c>
      <c r="BK9" s="1028"/>
      <c r="BL9" s="213"/>
      <c r="BM9" s="185"/>
      <c r="BN9" s="185"/>
      <c r="BO9" s="1025"/>
      <c r="BP9" s="165"/>
      <c r="BQ9" s="907"/>
      <c r="BR9" s="907"/>
      <c r="BS9" s="1027"/>
      <c r="BT9" s="213">
        <f t="shared" si="10"/>
        <v>0</v>
      </c>
      <c r="BU9" s="1028"/>
      <c r="BV9" s="213"/>
      <c r="BW9" s="208"/>
      <c r="BX9" s="185"/>
      <c r="BY9" s="1025"/>
      <c r="BZ9" s="165"/>
      <c r="CA9" s="907"/>
      <c r="CB9" s="907"/>
      <c r="CC9" s="1027"/>
      <c r="CD9" s="213">
        <f t="shared" si="11"/>
        <v>0</v>
      </c>
      <c r="CE9" s="1028"/>
      <c r="CF9" s="213"/>
      <c r="CG9" s="185"/>
      <c r="CH9" s="185"/>
      <c r="CI9" s="1025"/>
      <c r="CJ9" s="165"/>
      <c r="CK9" s="907"/>
      <c r="CL9" s="907"/>
      <c r="CM9" s="1027"/>
      <c r="CN9" s="213">
        <f t="shared" si="12"/>
        <v>0</v>
      </c>
      <c r="CO9" s="1028"/>
      <c r="CP9" s="213"/>
      <c r="CQ9" s="185"/>
      <c r="CR9" s="185"/>
      <c r="CS9" s="1025"/>
      <c r="CT9" s="165"/>
      <c r="CU9" s="907"/>
      <c r="CV9" s="907"/>
      <c r="CW9" s="1027"/>
      <c r="CX9" s="213">
        <f t="shared" si="13"/>
        <v>0</v>
      </c>
      <c r="CY9" s="1028"/>
      <c r="CZ9" s="213"/>
      <c r="DA9" s="208"/>
      <c r="DB9" s="185"/>
      <c r="DC9" s="1025"/>
      <c r="DD9" s="165"/>
      <c r="DE9" s="907"/>
      <c r="DF9" s="907"/>
      <c r="DG9" s="1027"/>
      <c r="DH9" s="213">
        <f t="shared" si="14"/>
        <v>0</v>
      </c>
      <c r="DI9" s="1028"/>
      <c r="DJ9" s="213"/>
      <c r="DK9" s="185"/>
      <c r="DL9" s="185"/>
      <c r="DM9" s="1025"/>
      <c r="DN9" s="165"/>
      <c r="DO9" s="907"/>
      <c r="DP9" s="907"/>
      <c r="DQ9" s="1027"/>
      <c r="DR9" s="213">
        <f t="shared" si="15"/>
        <v>0</v>
      </c>
      <c r="DS9" s="1028"/>
      <c r="DT9" s="213"/>
      <c r="DU9" s="185"/>
      <c r="DV9" s="185"/>
      <c r="DW9" s="1025"/>
      <c r="DX9" s="165"/>
      <c r="DY9" s="907"/>
      <c r="DZ9" s="907"/>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c r="C10" s="1017"/>
      <c r="D10" s="1018"/>
      <c r="E10" s="1018"/>
      <c r="F10" s="1019">
        <f t="shared" si="2"/>
        <v>0</v>
      </c>
      <c r="G10" s="1020" t="str">
        <f t="shared" si="3"/>
        <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1">
        <f t="shared" si="21"/>
        <v>0</v>
      </c>
      <c r="J10" s="1022">
        <f t="shared" si="21"/>
        <v>0</v>
      </c>
      <c r="K10" s="185"/>
      <c r="L10" s="213" t="str">
        <f t="array" ref="L10">IFERROR(INDEX('💻シート作成'!$D$6:$D999, MATCH(M10, '💻シート作成'!$E$6:$E999, 0)), "")</f>
        <v>1月</v>
      </c>
      <c r="M10" s="913"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IFERROR(__xludf.DUMMYFUNCTION("""COMPUTED_VALUE"""),694.0)</f>
        <v>694</v>
      </c>
      <c r="AB10" s="164" t="str">
        <f>IFERROR(__xludf.DUMMYFUNCTION("""COMPUTED_VALUE"""),"ムクタ")</f>
        <v>ムクタ</v>
      </c>
      <c r="AC10" s="907" t="str">
        <f>IFERROR(__xludf.DUMMYFUNCTION("""COMPUTED_VALUE"""),"メイド")</f>
        <v>メイド</v>
      </c>
      <c r="AD10" s="907" t="str">
        <f>IFERROR(__xludf.DUMMYFUNCTION("""COMPUTED_VALUE"""),"歩合")</f>
        <v>歩合</v>
      </c>
      <c r="AE10" s="1027">
        <f>IFERROR(__xludf.DUMMYFUNCTION("""COMPUTED_VALUE"""),9.0)</f>
        <v>9</v>
      </c>
      <c r="AF10" s="213">
        <f t="shared" si="6"/>
        <v>1</v>
      </c>
      <c r="AG10" s="1028">
        <f>IFERROR(__xludf.DUMMYFUNCTION("""COMPUTED_VALUE"""),41.266666666666666)</f>
        <v>41.26666667</v>
      </c>
      <c r="AH10" s="213">
        <f>IFERROR(__xludf.DUMMYFUNCTION("""COMPUTED_VALUE"""),77.0)</f>
        <v>77</v>
      </c>
      <c r="AI10" s="185"/>
      <c r="AJ10" s="185"/>
      <c r="AK10" s="1025"/>
      <c r="AL10" s="165"/>
      <c r="AM10" s="907"/>
      <c r="AN10" s="907"/>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7"/>
      <c r="BH10" s="907"/>
      <c r="BI10" s="1027"/>
      <c r="BJ10" s="213">
        <f t="shared" si="9"/>
        <v>0</v>
      </c>
      <c r="BK10" s="1028"/>
      <c r="BL10" s="213"/>
      <c r="BM10" s="185"/>
      <c r="BN10" s="185"/>
      <c r="BO10" s="1025"/>
      <c r="BP10" s="165"/>
      <c r="BQ10" s="907"/>
      <c r="BR10" s="907"/>
      <c r="BS10" s="1027"/>
      <c r="BT10" s="213">
        <f t="shared" si="10"/>
        <v>0</v>
      </c>
      <c r="BU10" s="1028"/>
      <c r="BV10" s="213"/>
      <c r="BW10" s="208"/>
      <c r="BX10" s="185"/>
      <c r="BY10" s="1025"/>
      <c r="BZ10" s="165"/>
      <c r="CA10" s="907"/>
      <c r="CB10" s="907"/>
      <c r="CC10" s="1027"/>
      <c r="CD10" s="213">
        <f t="shared" si="11"/>
        <v>0</v>
      </c>
      <c r="CE10" s="1028"/>
      <c r="CF10" s="213"/>
      <c r="CG10" s="185"/>
      <c r="CH10" s="185"/>
      <c r="CI10" s="1025"/>
      <c r="CJ10" s="165"/>
      <c r="CK10" s="907"/>
      <c r="CL10" s="907"/>
      <c r="CM10" s="1027"/>
      <c r="CN10" s="213">
        <f t="shared" si="12"/>
        <v>0</v>
      </c>
      <c r="CO10" s="1028"/>
      <c r="CP10" s="213"/>
      <c r="CQ10" s="185"/>
      <c r="CR10" s="185"/>
      <c r="CS10" s="1025"/>
      <c r="CT10" s="165"/>
      <c r="CU10" s="907"/>
      <c r="CV10" s="907"/>
      <c r="CW10" s="1027"/>
      <c r="CX10" s="213">
        <f t="shared" si="13"/>
        <v>0</v>
      </c>
      <c r="CY10" s="1028"/>
      <c r="CZ10" s="213"/>
      <c r="DA10" s="208"/>
      <c r="DB10" s="185"/>
      <c r="DC10" s="1025"/>
      <c r="DD10" s="165"/>
      <c r="DE10" s="907"/>
      <c r="DF10" s="907"/>
      <c r="DG10" s="1027"/>
      <c r="DH10" s="213">
        <f t="shared" si="14"/>
        <v>0</v>
      </c>
      <c r="DI10" s="1028"/>
      <c r="DJ10" s="213"/>
      <c r="DK10" s="185"/>
      <c r="DL10" s="185"/>
      <c r="DM10" s="1025"/>
      <c r="DN10" s="165"/>
      <c r="DO10" s="907"/>
      <c r="DP10" s="907"/>
      <c r="DQ10" s="1027"/>
      <c r="DR10" s="213">
        <f t="shared" si="15"/>
        <v>0</v>
      </c>
      <c r="DS10" s="1028"/>
      <c r="DT10" s="213"/>
      <c r="DU10" s="185"/>
      <c r="DV10" s="185"/>
      <c r="DW10" s="1025"/>
      <c r="DX10" s="165"/>
      <c r="DY10" s="907"/>
      <c r="DZ10" s="907"/>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c r="C11" s="1017"/>
      <c r="D11" s="1018"/>
      <c r="E11" s="1018"/>
      <c r="F11" s="1019">
        <f t="shared" si="2"/>
        <v>0</v>
      </c>
      <c r="G11" s="1020" t="str">
        <f t="shared" si="3"/>
        <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1">
        <f t="shared" si="22"/>
        <v>0</v>
      </c>
      <c r="J11" s="1022">
        <f t="shared" si="22"/>
        <v>0</v>
      </c>
      <c r="K11" s="185"/>
      <c r="L11" s="213" t="str">
        <f t="array" ref="L11">IFERROR(INDEX('💻シート作成'!$D$6:$D999, MATCH(M11, '💻シート作成'!$E$6:$E999, 0)), "")</f>
        <v>12月</v>
      </c>
      <c r="M11" s="913"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IFERROR(__xludf.DUMMYFUNCTION("""COMPUTED_VALUE"""),695.0)</f>
        <v>695</v>
      </c>
      <c r="AB11" s="164" t="str">
        <f>IFERROR(__xludf.DUMMYFUNCTION("""COMPUTED_VALUE"""),"リーサン")</f>
        <v>リーサン</v>
      </c>
      <c r="AC11" s="907" t="str">
        <f>IFERROR(__xludf.DUMMYFUNCTION("""COMPUTED_VALUE"""),"メイド")</f>
        <v>メイド</v>
      </c>
      <c r="AD11" s="907" t="str">
        <f>IFERROR(__xludf.DUMMYFUNCTION("""COMPUTED_VALUE"""),"歩合")</f>
        <v>歩合</v>
      </c>
      <c r="AE11" s="1027">
        <f>IFERROR(__xludf.DUMMYFUNCTION("""COMPUTED_VALUE"""),27.0)</f>
        <v>27</v>
      </c>
      <c r="AF11" s="213">
        <f t="shared" si="6"/>
        <v>1</v>
      </c>
      <c r="AG11" s="1028">
        <f>IFERROR(__xludf.DUMMYFUNCTION("""COMPUTED_VALUE"""),149.3)</f>
        <v>149.3</v>
      </c>
      <c r="AH11" s="213">
        <f>IFERROR(__xludf.DUMMYFUNCTION("""COMPUTED_VALUE"""),316.0)</f>
        <v>316</v>
      </c>
      <c r="AI11" s="185"/>
      <c r="AJ11" s="185"/>
      <c r="AK11" s="1025"/>
      <c r="AL11" s="165"/>
      <c r="AM11" s="907"/>
      <c r="AN11" s="907"/>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7"/>
      <c r="BH11" s="907"/>
      <c r="BI11" s="1027"/>
      <c r="BJ11" s="213">
        <f t="shared" si="9"/>
        <v>0</v>
      </c>
      <c r="BK11" s="1028"/>
      <c r="BL11" s="213"/>
      <c r="BM11" s="185"/>
      <c r="BN11" s="185"/>
      <c r="BO11" s="1025"/>
      <c r="BP11" s="165"/>
      <c r="BQ11" s="907"/>
      <c r="BR11" s="907"/>
      <c r="BS11" s="1027"/>
      <c r="BT11" s="213">
        <f t="shared" si="10"/>
        <v>0</v>
      </c>
      <c r="BU11" s="1028"/>
      <c r="BV11" s="213"/>
      <c r="BW11" s="208"/>
      <c r="BX11" s="185"/>
      <c r="BY11" s="1025"/>
      <c r="BZ11" s="165"/>
      <c r="CA11" s="907"/>
      <c r="CB11" s="907"/>
      <c r="CC11" s="1027"/>
      <c r="CD11" s="213">
        <f t="shared" si="11"/>
        <v>0</v>
      </c>
      <c r="CE11" s="1028"/>
      <c r="CF11" s="213"/>
      <c r="CG11" s="185"/>
      <c r="CH11" s="185"/>
      <c r="CI11" s="1025"/>
      <c r="CJ11" s="165"/>
      <c r="CK11" s="907"/>
      <c r="CL11" s="907"/>
      <c r="CM11" s="1027"/>
      <c r="CN11" s="213">
        <f t="shared" si="12"/>
        <v>0</v>
      </c>
      <c r="CO11" s="1028"/>
      <c r="CP11" s="213"/>
      <c r="CQ11" s="185"/>
      <c r="CR11" s="185"/>
      <c r="CS11" s="1025"/>
      <c r="CT11" s="165"/>
      <c r="CU11" s="907"/>
      <c r="CV11" s="907"/>
      <c r="CW11" s="1027"/>
      <c r="CX11" s="213">
        <f t="shared" si="13"/>
        <v>0</v>
      </c>
      <c r="CY11" s="1028"/>
      <c r="CZ11" s="213"/>
      <c r="DA11" s="208"/>
      <c r="DB11" s="185"/>
      <c r="DC11" s="1025"/>
      <c r="DD11" s="165"/>
      <c r="DE11" s="907"/>
      <c r="DF11" s="907"/>
      <c r="DG11" s="1027"/>
      <c r="DH11" s="213">
        <f t="shared" si="14"/>
        <v>0</v>
      </c>
      <c r="DI11" s="1028"/>
      <c r="DJ11" s="213"/>
      <c r="DK11" s="185"/>
      <c r="DL11" s="185"/>
      <c r="DM11" s="1025"/>
      <c r="DN11" s="165"/>
      <c r="DO11" s="907"/>
      <c r="DP11" s="907"/>
      <c r="DQ11" s="1027"/>
      <c r="DR11" s="213">
        <f t="shared" si="15"/>
        <v>0</v>
      </c>
      <c r="DS11" s="1028"/>
      <c r="DT11" s="213"/>
      <c r="DU11" s="185"/>
      <c r="DV11" s="185"/>
      <c r="DW11" s="1025"/>
      <c r="DX11" s="165"/>
      <c r="DY11" s="907"/>
      <c r="DZ11" s="907"/>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c r="C12" s="1017"/>
      <c r="D12" s="1018"/>
      <c r="E12" s="1018"/>
      <c r="F12" s="1019">
        <f t="shared" si="2"/>
        <v>0</v>
      </c>
      <c r="G12" s="1020" t="str">
        <f t="shared" si="3"/>
        <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0</v>
      </c>
      <c r="J12" s="1022">
        <f t="shared" si="23"/>
        <v>0</v>
      </c>
      <c r="K12" s="185"/>
      <c r="L12" s="213" t="str">
        <f t="array" ref="L12">IFERROR(INDEX('💻シート作成'!$D$6:$D999, MATCH(M12, '💻シート作成'!$E$6:$E999, 0)), "")</f>
        <v>12月</v>
      </c>
      <c r="M12" s="913"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IFERROR(__xludf.DUMMYFUNCTION("""COMPUTED_VALUE"""),734.0)</f>
        <v>734</v>
      </c>
      <c r="AB12" s="164" t="str">
        <f>IFERROR(__xludf.DUMMYFUNCTION("""COMPUTED_VALUE"""),"金澤")</f>
        <v>金澤</v>
      </c>
      <c r="AC12" s="907" t="str">
        <f>IFERROR(__xludf.DUMMYFUNCTION("""COMPUTED_VALUE"""),"チェッカー")</f>
        <v>チェッカー</v>
      </c>
      <c r="AD12" s="907" t="str">
        <f>IFERROR(__xludf.DUMMYFUNCTION("""COMPUTED_VALUE"""),"時給")</f>
        <v>時給</v>
      </c>
      <c r="AE12" s="1027">
        <f>IFERROR(__xludf.DUMMYFUNCTION("""COMPUTED_VALUE"""),12.0)</f>
        <v>12</v>
      </c>
      <c r="AF12" s="213">
        <f t="shared" si="6"/>
        <v>0</v>
      </c>
      <c r="AG12" s="1028">
        <f>IFERROR(__xludf.DUMMYFUNCTION("""COMPUTED_VALUE"""),78.5)</f>
        <v>78.5</v>
      </c>
      <c r="AH12" s="213">
        <f>IFERROR(__xludf.DUMMYFUNCTION("""COMPUTED_VALUE"""),0.0)</f>
        <v>0</v>
      </c>
      <c r="AI12" s="185"/>
      <c r="AJ12" s="185"/>
      <c r="AK12" s="1025"/>
      <c r="AL12" s="165"/>
      <c r="AM12" s="907"/>
      <c r="AN12" s="907"/>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7"/>
      <c r="BH12" s="907"/>
      <c r="BI12" s="1027"/>
      <c r="BJ12" s="213">
        <f t="shared" si="9"/>
        <v>0</v>
      </c>
      <c r="BK12" s="1028"/>
      <c r="BL12" s="213"/>
      <c r="BM12" s="185"/>
      <c r="BN12" s="185"/>
      <c r="BO12" s="1025"/>
      <c r="BP12" s="165"/>
      <c r="BQ12" s="907"/>
      <c r="BR12" s="907"/>
      <c r="BS12" s="1027"/>
      <c r="BT12" s="213">
        <f t="shared" si="10"/>
        <v>0</v>
      </c>
      <c r="BU12" s="1028"/>
      <c r="BV12" s="213"/>
      <c r="BW12" s="208"/>
      <c r="BX12" s="185"/>
      <c r="BY12" s="1025"/>
      <c r="BZ12" s="165"/>
      <c r="CA12" s="907"/>
      <c r="CB12" s="907"/>
      <c r="CC12" s="1027"/>
      <c r="CD12" s="213">
        <f t="shared" si="11"/>
        <v>0</v>
      </c>
      <c r="CE12" s="1028"/>
      <c r="CF12" s="213"/>
      <c r="CG12" s="185"/>
      <c r="CH12" s="185"/>
      <c r="CI12" s="1025"/>
      <c r="CJ12" s="165"/>
      <c r="CK12" s="907"/>
      <c r="CL12" s="907"/>
      <c r="CM12" s="1027"/>
      <c r="CN12" s="213">
        <f t="shared" si="12"/>
        <v>0</v>
      </c>
      <c r="CO12" s="1028"/>
      <c r="CP12" s="213"/>
      <c r="CQ12" s="185"/>
      <c r="CR12" s="185"/>
      <c r="CS12" s="1025"/>
      <c r="CT12" s="165"/>
      <c r="CU12" s="907"/>
      <c r="CV12" s="907"/>
      <c r="CW12" s="1027"/>
      <c r="CX12" s="213">
        <f t="shared" si="13"/>
        <v>0</v>
      </c>
      <c r="CY12" s="1028"/>
      <c r="CZ12" s="213"/>
      <c r="DA12" s="208"/>
      <c r="DB12" s="185"/>
      <c r="DC12" s="1025"/>
      <c r="DD12" s="165"/>
      <c r="DE12" s="907"/>
      <c r="DF12" s="907"/>
      <c r="DG12" s="1027"/>
      <c r="DH12" s="213">
        <f t="shared" si="14"/>
        <v>0</v>
      </c>
      <c r="DI12" s="1028"/>
      <c r="DJ12" s="213"/>
      <c r="DK12" s="185"/>
      <c r="DL12" s="185"/>
      <c r="DM12" s="1025"/>
      <c r="DN12" s="165"/>
      <c r="DO12" s="907"/>
      <c r="DP12" s="907"/>
      <c r="DQ12" s="1027"/>
      <c r="DR12" s="213">
        <f t="shared" si="15"/>
        <v>0</v>
      </c>
      <c r="DS12" s="1028"/>
      <c r="DT12" s="213"/>
      <c r="DU12" s="185"/>
      <c r="DV12" s="185"/>
      <c r="DW12" s="1025"/>
      <c r="DX12" s="165"/>
      <c r="DY12" s="907"/>
      <c r="DZ12" s="907"/>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c r="C13" s="1017"/>
      <c r="D13" s="1018"/>
      <c r="E13" s="1018"/>
      <c r="F13" s="1019">
        <f t="shared" si="2"/>
        <v>0</v>
      </c>
      <c r="G13" s="1020" t="str">
        <f t="shared" si="3"/>
        <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0</v>
      </c>
      <c r="J13" s="1022">
        <f t="shared" si="24"/>
        <v>0</v>
      </c>
      <c r="K13" s="185"/>
      <c r="L13" s="213" t="str">
        <f t="array" ref="L13">IFERROR(INDEX('💻シート作成'!$D$6:$D999, MATCH(M13, '💻シート作成'!$E$6:$E999, 0)), "")</f>
        <v>12月</v>
      </c>
      <c r="M13" s="913"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IFERROR(__xludf.DUMMYFUNCTION("""COMPUTED_VALUE"""),736.0)</f>
        <v>736</v>
      </c>
      <c r="AB13" s="164" t="str">
        <f>IFERROR(__xludf.DUMMYFUNCTION("""COMPUTED_VALUE"""),"ラクシュミ")</f>
        <v>ラクシュミ</v>
      </c>
      <c r="AC13" s="907" t="str">
        <f>IFERROR(__xludf.DUMMYFUNCTION("""COMPUTED_VALUE"""),"メイド")</f>
        <v>メイド</v>
      </c>
      <c r="AD13" s="907" t="str">
        <f>IFERROR(__xludf.DUMMYFUNCTION("""COMPUTED_VALUE"""),"歩合")</f>
        <v>歩合</v>
      </c>
      <c r="AE13" s="1027">
        <f>IFERROR(__xludf.DUMMYFUNCTION("""COMPUTED_VALUE"""),18.0)</f>
        <v>18</v>
      </c>
      <c r="AF13" s="213">
        <f t="shared" si="6"/>
        <v>0</v>
      </c>
      <c r="AG13" s="1028">
        <f>IFERROR(__xludf.DUMMYFUNCTION("""COMPUTED_VALUE"""),106.55)</f>
        <v>106.55</v>
      </c>
      <c r="AH13" s="213">
        <f>IFERROR(__xludf.DUMMYFUNCTION("""COMPUTED_VALUE"""),164.0)</f>
        <v>164</v>
      </c>
      <c r="AI13" s="185"/>
      <c r="AJ13" s="185"/>
      <c r="AK13" s="1025"/>
      <c r="AL13" s="165"/>
      <c r="AM13" s="907"/>
      <c r="AN13" s="907"/>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7"/>
      <c r="BH13" s="907"/>
      <c r="BI13" s="1027"/>
      <c r="BJ13" s="213">
        <f t="shared" si="9"/>
        <v>0</v>
      </c>
      <c r="BK13" s="1028"/>
      <c r="BL13" s="213"/>
      <c r="BM13" s="185"/>
      <c r="BN13" s="185"/>
      <c r="BO13" s="1025"/>
      <c r="BP13" s="165"/>
      <c r="BQ13" s="907"/>
      <c r="BR13" s="907"/>
      <c r="BS13" s="1027"/>
      <c r="BT13" s="213">
        <f t="shared" si="10"/>
        <v>0</v>
      </c>
      <c r="BU13" s="1028"/>
      <c r="BV13" s="213"/>
      <c r="BW13" s="208"/>
      <c r="BX13" s="185"/>
      <c r="BY13" s="1025"/>
      <c r="BZ13" s="165"/>
      <c r="CA13" s="907"/>
      <c r="CB13" s="907"/>
      <c r="CC13" s="1027"/>
      <c r="CD13" s="213">
        <f t="shared" si="11"/>
        <v>0</v>
      </c>
      <c r="CE13" s="1028"/>
      <c r="CF13" s="213"/>
      <c r="CG13" s="185"/>
      <c r="CH13" s="185"/>
      <c r="CI13" s="1025"/>
      <c r="CJ13" s="165"/>
      <c r="CK13" s="907"/>
      <c r="CL13" s="907"/>
      <c r="CM13" s="1027"/>
      <c r="CN13" s="213">
        <f t="shared" si="12"/>
        <v>0</v>
      </c>
      <c r="CO13" s="1028"/>
      <c r="CP13" s="213"/>
      <c r="CQ13" s="185"/>
      <c r="CR13" s="185"/>
      <c r="CS13" s="1025"/>
      <c r="CT13" s="165"/>
      <c r="CU13" s="907"/>
      <c r="CV13" s="907"/>
      <c r="CW13" s="1027"/>
      <c r="CX13" s="213">
        <f t="shared" si="13"/>
        <v>0</v>
      </c>
      <c r="CY13" s="1028"/>
      <c r="CZ13" s="213"/>
      <c r="DA13" s="208"/>
      <c r="DB13" s="185"/>
      <c r="DC13" s="1025"/>
      <c r="DD13" s="165"/>
      <c r="DE13" s="907"/>
      <c r="DF13" s="907"/>
      <c r="DG13" s="1027"/>
      <c r="DH13" s="213">
        <f t="shared" si="14"/>
        <v>0</v>
      </c>
      <c r="DI13" s="1028"/>
      <c r="DJ13" s="213"/>
      <c r="DK13" s="185"/>
      <c r="DL13" s="185"/>
      <c r="DM13" s="1025"/>
      <c r="DN13" s="165"/>
      <c r="DO13" s="907"/>
      <c r="DP13" s="907"/>
      <c r="DQ13" s="1027"/>
      <c r="DR13" s="213">
        <f t="shared" si="15"/>
        <v>0</v>
      </c>
      <c r="DS13" s="1028"/>
      <c r="DT13" s="213"/>
      <c r="DU13" s="185"/>
      <c r="DV13" s="185"/>
      <c r="DW13" s="1025"/>
      <c r="DX13" s="165"/>
      <c r="DY13" s="907"/>
      <c r="DZ13" s="907"/>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c r="C14" s="1017"/>
      <c r="D14" s="1018"/>
      <c r="E14" s="1018"/>
      <c r="F14" s="1019">
        <f t="shared" si="2"/>
        <v>0</v>
      </c>
      <c r="G14" s="1020" t="str">
        <f t="shared" si="3"/>
        <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0</v>
      </c>
      <c r="J14" s="1022">
        <f t="shared" si="25"/>
        <v>0</v>
      </c>
      <c r="K14" s="185"/>
      <c r="L14" s="213" t="str">
        <f t="array" ref="L14">IFERROR(INDEX('💻シート作成'!$D$6:$D999, MATCH(M14, '💻シート作成'!$E$6:$E999, 0)), "")</f>
        <v>12月</v>
      </c>
      <c r="M14" s="913"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IFERROR(__xludf.DUMMYFUNCTION("""COMPUTED_VALUE"""),783.0)</f>
        <v>783</v>
      </c>
      <c r="AB14" s="164" t="str">
        <f>IFERROR(__xludf.DUMMYFUNCTION("""COMPUTED_VALUE"""),"アソク")</f>
        <v>アソク</v>
      </c>
      <c r="AC14" s="907" t="str">
        <f>IFERROR(__xludf.DUMMYFUNCTION("""COMPUTED_VALUE"""),"メイド")</f>
        <v>メイド</v>
      </c>
      <c r="AD14" s="907" t="str">
        <f>IFERROR(__xludf.DUMMYFUNCTION("""COMPUTED_VALUE"""),"歩合")</f>
        <v>歩合</v>
      </c>
      <c r="AE14" s="1027">
        <f>IFERROR(__xludf.DUMMYFUNCTION("""COMPUTED_VALUE"""),22.0)</f>
        <v>22</v>
      </c>
      <c r="AF14" s="213">
        <f t="shared" si="6"/>
        <v>0</v>
      </c>
      <c r="AG14" s="1028">
        <f>IFERROR(__xludf.DUMMYFUNCTION("""COMPUTED_VALUE"""),122.91666666666667)</f>
        <v>122.9166667</v>
      </c>
      <c r="AH14" s="213">
        <f>IFERROR(__xludf.DUMMYFUNCTION("""COMPUTED_VALUE"""),215.0)</f>
        <v>215</v>
      </c>
      <c r="AI14" s="185"/>
      <c r="AJ14" s="185"/>
      <c r="AK14" s="1025"/>
      <c r="AL14" s="165"/>
      <c r="AM14" s="907"/>
      <c r="AN14" s="907"/>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7"/>
      <c r="BH14" s="907"/>
      <c r="BI14" s="1027"/>
      <c r="BJ14" s="213">
        <f t="shared" si="9"/>
        <v>0</v>
      </c>
      <c r="BK14" s="1028"/>
      <c r="BL14" s="213"/>
      <c r="BM14" s="185"/>
      <c r="BN14" s="185"/>
      <c r="BO14" s="1025"/>
      <c r="BP14" s="165"/>
      <c r="BQ14" s="907"/>
      <c r="BR14" s="907"/>
      <c r="BS14" s="1027"/>
      <c r="BT14" s="213">
        <f t="shared" si="10"/>
        <v>0</v>
      </c>
      <c r="BU14" s="1028"/>
      <c r="BV14" s="213"/>
      <c r="BW14" s="208"/>
      <c r="BX14" s="185"/>
      <c r="BY14" s="1025"/>
      <c r="BZ14" s="165"/>
      <c r="CA14" s="907"/>
      <c r="CB14" s="907"/>
      <c r="CC14" s="1027"/>
      <c r="CD14" s="213">
        <f t="shared" si="11"/>
        <v>0</v>
      </c>
      <c r="CE14" s="1028"/>
      <c r="CF14" s="213"/>
      <c r="CG14" s="185"/>
      <c r="CH14" s="185"/>
      <c r="CI14" s="1025"/>
      <c r="CJ14" s="165"/>
      <c r="CK14" s="907"/>
      <c r="CL14" s="907"/>
      <c r="CM14" s="1027"/>
      <c r="CN14" s="213">
        <f t="shared" si="12"/>
        <v>0</v>
      </c>
      <c r="CO14" s="1028"/>
      <c r="CP14" s="213"/>
      <c r="CQ14" s="185"/>
      <c r="CR14" s="185"/>
      <c r="CS14" s="1025"/>
      <c r="CT14" s="165"/>
      <c r="CU14" s="907"/>
      <c r="CV14" s="907"/>
      <c r="CW14" s="1027"/>
      <c r="CX14" s="213">
        <f t="shared" si="13"/>
        <v>0</v>
      </c>
      <c r="CY14" s="1028"/>
      <c r="CZ14" s="213"/>
      <c r="DA14" s="208"/>
      <c r="DB14" s="185"/>
      <c r="DC14" s="1025"/>
      <c r="DD14" s="165"/>
      <c r="DE14" s="907"/>
      <c r="DF14" s="907"/>
      <c r="DG14" s="1027"/>
      <c r="DH14" s="213">
        <f t="shared" si="14"/>
        <v>0</v>
      </c>
      <c r="DI14" s="1028"/>
      <c r="DJ14" s="213"/>
      <c r="DK14" s="185"/>
      <c r="DL14" s="185"/>
      <c r="DM14" s="1025"/>
      <c r="DN14" s="165"/>
      <c r="DO14" s="907"/>
      <c r="DP14" s="907"/>
      <c r="DQ14" s="1027"/>
      <c r="DR14" s="213">
        <f t="shared" si="15"/>
        <v>0</v>
      </c>
      <c r="DS14" s="1028"/>
      <c r="DT14" s="213"/>
      <c r="DU14" s="185"/>
      <c r="DV14" s="185"/>
      <c r="DW14" s="1025"/>
      <c r="DX14" s="165"/>
      <c r="DY14" s="907"/>
      <c r="DZ14" s="907"/>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c r="C15" s="1017"/>
      <c r="D15" s="1018"/>
      <c r="E15" s="1018"/>
      <c r="F15" s="1019">
        <f t="shared" si="2"/>
        <v>0</v>
      </c>
      <c r="G15" s="1020" t="str">
        <f t="shared" si="3"/>
        <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0</v>
      </c>
      <c r="J15" s="1022">
        <f t="shared" si="26"/>
        <v>0</v>
      </c>
      <c r="K15" s="185"/>
      <c r="L15" s="213" t="str">
        <f t="array" ref="L15">IFERROR(INDEX('💻シート作成'!$D$6:$D999, MATCH(M15, '💻シート作成'!$E$6:$E999, 0)), "")</f>
        <v>11月</v>
      </c>
      <c r="M15" s="913"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IFERROR(__xludf.DUMMYFUNCTION("""COMPUTED_VALUE"""),784.0)</f>
        <v>784</v>
      </c>
      <c r="AB15" s="164" t="str">
        <f>IFERROR(__xludf.DUMMYFUNCTION("""COMPUTED_VALUE"""),"マガル")</f>
        <v>マガル</v>
      </c>
      <c r="AC15" s="907" t="str">
        <f>IFERROR(__xludf.DUMMYFUNCTION("""COMPUTED_VALUE"""),"メイド")</f>
        <v>メイド</v>
      </c>
      <c r="AD15" s="907" t="str">
        <f>IFERROR(__xludf.DUMMYFUNCTION("""COMPUTED_VALUE"""),"歩合")</f>
        <v>歩合</v>
      </c>
      <c r="AE15" s="1027">
        <f>IFERROR(__xludf.DUMMYFUNCTION("""COMPUTED_VALUE"""),21.0)</f>
        <v>21</v>
      </c>
      <c r="AF15" s="213">
        <f t="shared" si="6"/>
        <v>0</v>
      </c>
      <c r="AG15" s="1028">
        <f>IFERROR(__xludf.DUMMYFUNCTION("""COMPUTED_VALUE"""),114.45)</f>
        <v>114.45</v>
      </c>
      <c r="AH15" s="213">
        <f>IFERROR(__xludf.DUMMYFUNCTION("""COMPUTED_VALUE"""),203.0)</f>
        <v>203</v>
      </c>
      <c r="AI15" s="185"/>
      <c r="AJ15" s="185"/>
      <c r="AK15" s="1025"/>
      <c r="AL15" s="165"/>
      <c r="AM15" s="907"/>
      <c r="AN15" s="907"/>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7"/>
      <c r="BH15" s="907"/>
      <c r="BI15" s="1027"/>
      <c r="BJ15" s="213">
        <f t="shared" si="9"/>
        <v>0</v>
      </c>
      <c r="BK15" s="1028"/>
      <c r="BL15" s="213"/>
      <c r="BM15" s="185"/>
      <c r="BN15" s="185"/>
      <c r="BO15" s="1025"/>
      <c r="BP15" s="165"/>
      <c r="BQ15" s="907"/>
      <c r="BR15" s="907"/>
      <c r="BS15" s="1027"/>
      <c r="BT15" s="213">
        <f t="shared" si="10"/>
        <v>0</v>
      </c>
      <c r="BU15" s="1028"/>
      <c r="BV15" s="213"/>
      <c r="BW15" s="208"/>
      <c r="BX15" s="185"/>
      <c r="BY15" s="1025"/>
      <c r="BZ15" s="165"/>
      <c r="CA15" s="907"/>
      <c r="CB15" s="907"/>
      <c r="CC15" s="1027"/>
      <c r="CD15" s="213">
        <f t="shared" si="11"/>
        <v>0</v>
      </c>
      <c r="CE15" s="1028"/>
      <c r="CF15" s="213"/>
      <c r="CG15" s="185"/>
      <c r="CH15" s="185"/>
      <c r="CI15" s="1025"/>
      <c r="CJ15" s="165"/>
      <c r="CK15" s="907"/>
      <c r="CL15" s="907"/>
      <c r="CM15" s="1027"/>
      <c r="CN15" s="213">
        <f t="shared" si="12"/>
        <v>0</v>
      </c>
      <c r="CO15" s="1028"/>
      <c r="CP15" s="213"/>
      <c r="CQ15" s="185"/>
      <c r="CR15" s="185"/>
      <c r="CS15" s="1025"/>
      <c r="CT15" s="165"/>
      <c r="CU15" s="907"/>
      <c r="CV15" s="907"/>
      <c r="CW15" s="1027"/>
      <c r="CX15" s="213">
        <f t="shared" si="13"/>
        <v>0</v>
      </c>
      <c r="CY15" s="1028"/>
      <c r="CZ15" s="213"/>
      <c r="DA15" s="208"/>
      <c r="DB15" s="185"/>
      <c r="DC15" s="1025"/>
      <c r="DD15" s="165"/>
      <c r="DE15" s="907"/>
      <c r="DF15" s="907"/>
      <c r="DG15" s="1027"/>
      <c r="DH15" s="213">
        <f t="shared" si="14"/>
        <v>0</v>
      </c>
      <c r="DI15" s="1028"/>
      <c r="DJ15" s="213"/>
      <c r="DK15" s="185"/>
      <c r="DL15" s="185"/>
      <c r="DM15" s="1025"/>
      <c r="DN15" s="165"/>
      <c r="DO15" s="907"/>
      <c r="DP15" s="907"/>
      <c r="DQ15" s="1027"/>
      <c r="DR15" s="213">
        <f t="shared" si="15"/>
        <v>0</v>
      </c>
      <c r="DS15" s="1028"/>
      <c r="DT15" s="213"/>
      <c r="DU15" s="185"/>
      <c r="DV15" s="185"/>
      <c r="DW15" s="1025"/>
      <c r="DX15" s="165"/>
      <c r="DY15" s="907"/>
      <c r="DZ15" s="907"/>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c r="C16" s="1017"/>
      <c r="D16" s="1018"/>
      <c r="E16" s="1018"/>
      <c r="F16" s="1019">
        <f t="shared" si="2"/>
        <v>0</v>
      </c>
      <c r="G16" s="1020" t="str">
        <f t="shared" si="3"/>
        <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0</v>
      </c>
      <c r="J16" s="1022">
        <f t="shared" si="27"/>
        <v>0</v>
      </c>
      <c r="K16" s="185"/>
      <c r="L16" s="213" t="str">
        <f t="array" ref="L16">IFERROR(INDEX('💻シート作成'!$D$6:$D999, MATCH(M16, '💻シート作成'!$E$6:$E999, 0)), "")</f>
        <v>11月</v>
      </c>
      <c r="M16" s="908"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IFERROR(__xludf.DUMMYFUNCTION("""COMPUTED_VALUE"""),785.0)</f>
        <v>785</v>
      </c>
      <c r="AB16" s="164" t="str">
        <f>IFERROR(__xludf.DUMMYFUNCTION("""COMPUTED_VALUE"""),"スシル")</f>
        <v>スシル</v>
      </c>
      <c r="AC16" s="907" t="str">
        <f>IFERROR(__xludf.DUMMYFUNCTION("""COMPUTED_VALUE"""),"メイド")</f>
        <v>メイド</v>
      </c>
      <c r="AD16" s="907" t="str">
        <f>IFERROR(__xludf.DUMMYFUNCTION("""COMPUTED_VALUE"""),"歩合")</f>
        <v>歩合</v>
      </c>
      <c r="AE16" s="1027">
        <f>IFERROR(__xludf.DUMMYFUNCTION("""COMPUTED_VALUE"""),26.0)</f>
        <v>26</v>
      </c>
      <c r="AF16" s="213">
        <f t="shared" si="6"/>
        <v>0</v>
      </c>
      <c r="AG16" s="1028">
        <f>IFERROR(__xludf.DUMMYFUNCTION("""COMPUTED_VALUE"""),153.21666666666667)</f>
        <v>153.2166667</v>
      </c>
      <c r="AH16" s="213">
        <f>IFERROR(__xludf.DUMMYFUNCTION("""COMPUTED_VALUE"""),321.0)</f>
        <v>321</v>
      </c>
      <c r="AI16" s="185"/>
      <c r="AJ16" s="185"/>
      <c r="AK16" s="1025"/>
      <c r="AL16" s="165"/>
      <c r="AM16" s="907"/>
      <c r="AN16" s="907"/>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7"/>
      <c r="BH16" s="907"/>
      <c r="BI16" s="1027"/>
      <c r="BJ16" s="213">
        <f t="shared" si="9"/>
        <v>0</v>
      </c>
      <c r="BK16" s="1028"/>
      <c r="BL16" s="213"/>
      <c r="BM16" s="185"/>
      <c r="BN16" s="185"/>
      <c r="BO16" s="1025"/>
      <c r="BP16" s="165"/>
      <c r="BQ16" s="907"/>
      <c r="BR16" s="907"/>
      <c r="BS16" s="1027"/>
      <c r="BT16" s="213">
        <f t="shared" si="10"/>
        <v>0</v>
      </c>
      <c r="BU16" s="1028"/>
      <c r="BV16" s="213"/>
      <c r="BW16" s="208"/>
      <c r="BX16" s="185"/>
      <c r="BY16" s="1025"/>
      <c r="BZ16" s="165"/>
      <c r="CA16" s="907"/>
      <c r="CB16" s="907"/>
      <c r="CC16" s="1027"/>
      <c r="CD16" s="213">
        <f t="shared" si="11"/>
        <v>0</v>
      </c>
      <c r="CE16" s="1028"/>
      <c r="CF16" s="213"/>
      <c r="CG16" s="185"/>
      <c r="CH16" s="185"/>
      <c r="CI16" s="1025"/>
      <c r="CJ16" s="165"/>
      <c r="CK16" s="907"/>
      <c r="CL16" s="907"/>
      <c r="CM16" s="1027"/>
      <c r="CN16" s="213">
        <f t="shared" si="12"/>
        <v>0</v>
      </c>
      <c r="CO16" s="1028"/>
      <c r="CP16" s="213"/>
      <c r="CQ16" s="185"/>
      <c r="CR16" s="185"/>
      <c r="CS16" s="1025"/>
      <c r="CT16" s="165"/>
      <c r="CU16" s="907"/>
      <c r="CV16" s="907"/>
      <c r="CW16" s="1027"/>
      <c r="CX16" s="213">
        <f t="shared" si="13"/>
        <v>0</v>
      </c>
      <c r="CY16" s="1028"/>
      <c r="CZ16" s="213"/>
      <c r="DA16" s="208"/>
      <c r="DB16" s="185"/>
      <c r="DC16" s="1025"/>
      <c r="DD16" s="165"/>
      <c r="DE16" s="907"/>
      <c r="DF16" s="907"/>
      <c r="DG16" s="1027"/>
      <c r="DH16" s="213">
        <f t="shared" si="14"/>
        <v>0</v>
      </c>
      <c r="DI16" s="1028"/>
      <c r="DJ16" s="213"/>
      <c r="DK16" s="185"/>
      <c r="DL16" s="185"/>
      <c r="DM16" s="1025"/>
      <c r="DN16" s="165"/>
      <c r="DO16" s="907"/>
      <c r="DP16" s="907"/>
      <c r="DQ16" s="1027"/>
      <c r="DR16" s="213">
        <f t="shared" si="15"/>
        <v>0</v>
      </c>
      <c r="DS16" s="1028"/>
      <c r="DT16" s="213"/>
      <c r="DU16" s="185"/>
      <c r="DV16" s="185"/>
      <c r="DW16" s="1025"/>
      <c r="DX16" s="165"/>
      <c r="DY16" s="907"/>
      <c r="DZ16" s="907"/>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c r="C17" s="1017"/>
      <c r="D17" s="1018"/>
      <c r="E17" s="1018"/>
      <c r="F17" s="1019">
        <f t="shared" si="2"/>
        <v>0</v>
      </c>
      <c r="G17" s="1020" t="str">
        <f t="shared" si="3"/>
        <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0</v>
      </c>
      <c r="J17" s="1022">
        <f t="shared" si="28"/>
        <v>0</v>
      </c>
      <c r="K17" s="185"/>
      <c r="L17" s="213" t="str">
        <f t="array" ref="L17">IFERROR(INDEX('💻シート作成'!$D$6:$D999, MATCH(M17, '💻シート作成'!$E$6:$E999, 0)), "")</f>
        <v>11月</v>
      </c>
      <c r="M17" s="908"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IFERROR(__xludf.DUMMYFUNCTION("""COMPUTED_VALUE"""),829.0)</f>
        <v>829</v>
      </c>
      <c r="AB17" s="1046" t="str">
        <f>IFERROR(__xludf.DUMMYFUNCTION("""COMPUTED_VALUE"""),"ダワ")</f>
        <v>ダワ</v>
      </c>
      <c r="AC17" s="213" t="str">
        <f>IFERROR(__xludf.DUMMYFUNCTION("""COMPUTED_VALUE"""),"メイド")</f>
        <v>メイド</v>
      </c>
      <c r="AD17" s="213" t="str">
        <f>IFERROR(__xludf.DUMMYFUNCTION("""COMPUTED_VALUE"""),"歩合")</f>
        <v>歩合</v>
      </c>
      <c r="AE17" s="1027">
        <f>IFERROR(__xludf.DUMMYFUNCTION("""COMPUTED_VALUE"""),11.0)</f>
        <v>11</v>
      </c>
      <c r="AF17" s="213">
        <f t="shared" si="6"/>
        <v>0</v>
      </c>
      <c r="AG17" s="1028">
        <f>IFERROR(__xludf.DUMMYFUNCTION("""COMPUTED_VALUE"""),60.78333333333333)</f>
        <v>60.78333333</v>
      </c>
      <c r="AH17" s="213">
        <f>IFERROR(__xludf.DUMMYFUNCTION("""COMPUTED_VALUE"""),100.0)</f>
        <v>100</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c r="C18" s="1017"/>
      <c r="D18" s="1018"/>
      <c r="E18" s="1018"/>
      <c r="F18" s="1019">
        <f t="shared" si="2"/>
        <v>0</v>
      </c>
      <c r="G18" s="1020" t="str">
        <f t="shared" si="3"/>
        <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1">
        <f t="shared" si="29"/>
        <v>0</v>
      </c>
      <c r="J18" s="1022">
        <f t="shared" si="29"/>
        <v>0</v>
      </c>
      <c r="K18" s="185"/>
      <c r="L18" s="213" t="str">
        <f t="array" ref="L18">IFERROR(INDEX('💻シート作成'!$D$6:$D999, MATCH(M18, '💻シート作成'!$E$6:$E999, 0)), "")</f>
        <v>11月</v>
      </c>
      <c r="M18" s="913"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IFERROR(__xludf.DUMMYFUNCTION("""COMPUTED_VALUE"""),831.0)</f>
        <v>831</v>
      </c>
      <c r="AB18" s="1046" t="str">
        <f>IFERROR(__xludf.DUMMYFUNCTION("""COMPUTED_VALUE"""),"タパ")</f>
        <v>タパ</v>
      </c>
      <c r="AC18" s="213" t="str">
        <f>IFERROR(__xludf.DUMMYFUNCTION("""COMPUTED_VALUE"""),"メイド")</f>
        <v>メイド</v>
      </c>
      <c r="AD18" s="213" t="str">
        <f>IFERROR(__xludf.DUMMYFUNCTION("""COMPUTED_VALUE"""),"歩合")</f>
        <v>歩合</v>
      </c>
      <c r="AE18" s="1027">
        <f>IFERROR(__xludf.DUMMYFUNCTION("""COMPUTED_VALUE"""),27.0)</f>
        <v>27</v>
      </c>
      <c r="AF18" s="213">
        <f t="shared" si="6"/>
        <v>0</v>
      </c>
      <c r="AG18" s="1028">
        <f>IFERROR(__xludf.DUMMYFUNCTION("""COMPUTED_VALUE"""),140.8)</f>
        <v>140.8</v>
      </c>
      <c r="AH18" s="213">
        <f>IFERROR(__xludf.DUMMYFUNCTION("""COMPUTED_VALUE"""),291.0)</f>
        <v>291</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c r="C19" s="1017"/>
      <c r="D19" s="1018"/>
      <c r="E19" s="1018"/>
      <c r="F19" s="1019">
        <f t="shared" si="2"/>
        <v>0</v>
      </c>
      <c r="G19" s="1020" t="str">
        <f t="shared" si="3"/>
        <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0</v>
      </c>
      <c r="J19" s="1022">
        <f t="shared" si="30"/>
        <v>0</v>
      </c>
      <c r="K19" s="185"/>
      <c r="L19" s="213" t="str">
        <f t="array" ref="L19">IFERROR(INDEX('💻シート作成'!$D$6:$D999, MATCH(M19, '💻シート作成'!$E$6:$E999, 0)), "")</f>
        <v>10月</v>
      </c>
      <c r="M19" s="913"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IFERROR(__xludf.DUMMYFUNCTION("""COMPUTED_VALUE"""),833.0)</f>
        <v>833</v>
      </c>
      <c r="AB19" s="1046" t="str">
        <f>IFERROR(__xludf.DUMMYFUNCTION("""COMPUTED_VALUE"""),"ゴパル")</f>
        <v>ゴパル</v>
      </c>
      <c r="AC19" s="213" t="str">
        <f>IFERROR(__xludf.DUMMYFUNCTION("""COMPUTED_VALUE"""),"メイド")</f>
        <v>メイド</v>
      </c>
      <c r="AD19" s="213" t="str">
        <f>IFERROR(__xludf.DUMMYFUNCTION("""COMPUTED_VALUE"""),"歩合")</f>
        <v>歩合</v>
      </c>
      <c r="AE19" s="1027">
        <f>IFERROR(__xludf.DUMMYFUNCTION("""COMPUTED_VALUE"""),8.0)</f>
        <v>8</v>
      </c>
      <c r="AF19" s="213">
        <f t="shared" si="6"/>
        <v>0</v>
      </c>
      <c r="AG19" s="1028">
        <f>IFERROR(__xludf.DUMMYFUNCTION("""COMPUTED_VALUE"""),45.85)</f>
        <v>45.85</v>
      </c>
      <c r="AH19" s="213">
        <f>IFERROR(__xludf.DUMMYFUNCTION("""COMPUTED_VALUE"""),79.0)</f>
        <v>79</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c r="C20" s="1017"/>
      <c r="D20" s="1018"/>
      <c r="E20" s="1018"/>
      <c r="F20" s="1019">
        <f t="shared" si="2"/>
        <v>0</v>
      </c>
      <c r="G20" s="1020" t="str">
        <f t="shared" si="3"/>
        <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0</v>
      </c>
      <c r="J20" s="1022">
        <f t="shared" si="31"/>
        <v>0</v>
      </c>
      <c r="K20" s="185"/>
      <c r="L20" s="213" t="str">
        <f t="array" ref="L20">IFERROR(INDEX('💻シート作成'!$D$6:$D999, MATCH(M20, '💻シート作成'!$E$6:$E999, 0)), "")</f>
        <v>10月</v>
      </c>
      <c r="M20" s="913"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IFERROR(__xludf.DUMMYFUNCTION("""COMPUTED_VALUE"""),844.0)</f>
        <v>844</v>
      </c>
      <c r="AB20" s="1046" t="str">
        <f>IFERROR(__xludf.DUMMYFUNCTION("""COMPUTED_VALUE"""),"松岡")</f>
        <v>松岡</v>
      </c>
      <c r="AC20" s="213" t="str">
        <f>IFERROR(__xludf.DUMMYFUNCTION("""COMPUTED_VALUE"""),"チェッカー")</f>
        <v>チェッカー</v>
      </c>
      <c r="AD20" s="213" t="str">
        <f>IFERROR(__xludf.DUMMYFUNCTION("""COMPUTED_VALUE"""),"時給")</f>
        <v>時給</v>
      </c>
      <c r="AE20" s="1027">
        <f>IFERROR(__xludf.DUMMYFUNCTION("""COMPUTED_VALUE"""),20.0)</f>
        <v>20</v>
      </c>
      <c r="AF20" s="213">
        <f t="shared" si="6"/>
        <v>0</v>
      </c>
      <c r="AG20" s="1028">
        <f>IFERROR(__xludf.DUMMYFUNCTION("""COMPUTED_VALUE"""),144.75)</f>
        <v>144.75</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c r="C21" s="1017"/>
      <c r="D21" s="1018"/>
      <c r="E21" s="1018"/>
      <c r="F21" s="1019">
        <f t="shared" si="2"/>
        <v>0</v>
      </c>
      <c r="G21" s="1020" t="str">
        <f t="shared" si="3"/>
        <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1">
        <f t="shared" si="32"/>
        <v>0</v>
      </c>
      <c r="J21" s="1022">
        <f t="shared" si="32"/>
        <v>0</v>
      </c>
      <c r="K21" s="185"/>
      <c r="L21" s="213" t="str">
        <f t="array" ref="L21">IFERROR(INDEX('💻シート作成'!$D$6:$D999, MATCH(M21, '💻シート作成'!$E$6:$E999, 0)), "")</f>
        <v>10月</v>
      </c>
      <c r="M21" s="913"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IFERROR(__xludf.DUMMYFUNCTION("""COMPUTED_VALUE"""),848.0)</f>
        <v>848</v>
      </c>
      <c r="AB21" s="1046" t="str">
        <f>IFERROR(__xludf.DUMMYFUNCTION("""COMPUTED_VALUE"""),"ニロズ")</f>
        <v>ニロズ</v>
      </c>
      <c r="AC21" s="213" t="str">
        <f>IFERROR(__xludf.DUMMYFUNCTION("""COMPUTED_VALUE"""),"メイド")</f>
        <v>メイド</v>
      </c>
      <c r="AD21" s="213" t="str">
        <f>IFERROR(__xludf.DUMMYFUNCTION("""COMPUTED_VALUE"""),"歩合")</f>
        <v>歩合</v>
      </c>
      <c r="AE21" s="1027">
        <f>IFERROR(__xludf.DUMMYFUNCTION("""COMPUTED_VALUE"""),11.0)</f>
        <v>11</v>
      </c>
      <c r="AF21" s="213">
        <f t="shared" si="6"/>
        <v>1</v>
      </c>
      <c r="AG21" s="1028">
        <f>IFERROR(__xludf.DUMMYFUNCTION("""COMPUTED_VALUE"""),64.81666666666666)</f>
        <v>64.81666667</v>
      </c>
      <c r="AH21" s="213">
        <f>IFERROR(__xludf.DUMMYFUNCTION("""COMPUTED_VALUE"""),101.0)</f>
        <v>101</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c r="C22" s="1018"/>
      <c r="D22" s="1018"/>
      <c r="E22" s="1018"/>
      <c r="F22" s="1019">
        <f t="shared" si="2"/>
        <v>0</v>
      </c>
      <c r="G22" s="1020" t="str">
        <f t="shared" si="3"/>
        <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0</v>
      </c>
      <c r="J22" s="1022">
        <f t="shared" si="33"/>
        <v>0</v>
      </c>
      <c r="K22" s="185"/>
      <c r="L22" s="213" t="str">
        <f t="array" ref="L22">IFERROR(INDEX('💻シート作成'!$D$6:$D999, MATCH(M22, '💻シート作成'!$E$6:$E999, 0)), "")</f>
        <v>10月</v>
      </c>
      <c r="M22" s="913"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IFERROR(__xludf.DUMMYFUNCTION("""COMPUTED_VALUE"""),895.0)</f>
        <v>895</v>
      </c>
      <c r="AB22" s="1046" t="str">
        <f>IFERROR(__xludf.DUMMYFUNCTION("""COMPUTED_VALUE"""),"阿部")</f>
        <v>阿部</v>
      </c>
      <c r="AC22" s="213" t="str">
        <f>IFERROR(__xludf.DUMMYFUNCTION("""COMPUTED_VALUE"""),"メイド")</f>
        <v>メイド</v>
      </c>
      <c r="AD22" s="213" t="str">
        <f>IFERROR(__xludf.DUMMYFUNCTION("""COMPUTED_VALUE"""),"歩合")</f>
        <v>歩合</v>
      </c>
      <c r="AE22" s="1027">
        <f>IFERROR(__xludf.DUMMYFUNCTION("""COMPUTED_VALUE"""),19.0)</f>
        <v>19</v>
      </c>
      <c r="AF22" s="213">
        <f t="shared" si="6"/>
        <v>0</v>
      </c>
      <c r="AG22" s="1028">
        <f>IFERROR(__xludf.DUMMYFUNCTION("""COMPUTED_VALUE"""),119.26666666666667)</f>
        <v>119.2666667</v>
      </c>
      <c r="AH22" s="213">
        <f>IFERROR(__xludf.DUMMYFUNCTION("""COMPUTED_VALUE"""),180.0)</f>
        <v>180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c r="C23" s="1018"/>
      <c r="D23" s="1018"/>
      <c r="E23" s="1018"/>
      <c r="F23" s="1019">
        <f t="shared" si="2"/>
        <v>0</v>
      </c>
      <c r="G23" s="1020" t="str">
        <f t="shared" si="3"/>
        <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0</v>
      </c>
      <c r="J23" s="1022">
        <f t="shared" si="34"/>
        <v>0</v>
      </c>
      <c r="K23" s="185"/>
      <c r="L23" s="213" t="str">
        <f t="array" ref="L23">IFERROR(INDEX('💻シート作成'!$D$6:$D999, MATCH(M23, '💻シート作成'!$E$6:$E999, 0)), "")</f>
        <v>9月</v>
      </c>
      <c r="M23" s="908"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IFERROR(__xludf.DUMMYFUNCTION("""COMPUTED_VALUE"""),970.0)</f>
        <v>970</v>
      </c>
      <c r="AB23" s="1046" t="str">
        <f>IFERROR(__xludf.DUMMYFUNCTION("""COMPUTED_VALUE"""),"ラマ")</f>
        <v>ラマ</v>
      </c>
      <c r="AC23" s="213" t="str">
        <f>IFERROR(__xludf.DUMMYFUNCTION("""COMPUTED_VALUE"""),"メイド")</f>
        <v>メイド</v>
      </c>
      <c r="AD23" s="213" t="str">
        <f>IFERROR(__xludf.DUMMYFUNCTION("""COMPUTED_VALUE"""),"歩合")</f>
        <v>歩合</v>
      </c>
      <c r="AE23" s="1027">
        <f>IFERROR(__xludf.DUMMYFUNCTION("""COMPUTED_VALUE"""),23.0)</f>
        <v>23</v>
      </c>
      <c r="AF23" s="213">
        <f t="shared" si="6"/>
        <v>0</v>
      </c>
      <c r="AG23" s="1028">
        <f>IFERROR(__xludf.DUMMYFUNCTION("""COMPUTED_VALUE"""),128.9)</f>
        <v>128.9</v>
      </c>
      <c r="AH23" s="213">
        <f>IFERROR(__xludf.DUMMYFUNCTION("""COMPUTED_VALUE"""),215.0)</f>
        <v>215</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c r="C24" s="1018"/>
      <c r="D24" s="1018"/>
      <c r="E24" s="1018"/>
      <c r="F24" s="1019">
        <f t="shared" si="2"/>
        <v>0</v>
      </c>
      <c r="G24" s="1020" t="str">
        <f t="shared" si="3"/>
        <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0</v>
      </c>
      <c r="J24" s="1022">
        <f t="shared" si="35"/>
        <v>0</v>
      </c>
      <c r="K24" s="185"/>
      <c r="L24" s="213" t="str">
        <f t="array" ref="L24">IFERROR(INDEX('💻シート作成'!$D$6:$D999, MATCH(M24, '💻シート作成'!$E$6:$E999, 0)), "")</f>
        <v>9月</v>
      </c>
      <c r="M24" s="908"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IFERROR(__xludf.DUMMYFUNCTION("""COMPUTED_VALUE"""),971.0)</f>
        <v>971</v>
      </c>
      <c r="AB24" s="1046" t="str">
        <f>IFERROR(__xludf.DUMMYFUNCTION("""COMPUTED_VALUE"""),"ワンディ")</f>
        <v>ワンディ</v>
      </c>
      <c r="AC24" s="213" t="str">
        <f>IFERROR(__xludf.DUMMYFUNCTION("""COMPUTED_VALUE"""),"メイド")</f>
        <v>メイド</v>
      </c>
      <c r="AD24" s="213" t="str">
        <f>IFERROR(__xludf.DUMMYFUNCTION("""COMPUTED_VALUE"""),"歩合")</f>
        <v>歩合</v>
      </c>
      <c r="AE24" s="1027">
        <f>IFERROR(__xludf.DUMMYFUNCTION("""COMPUTED_VALUE"""),13.0)</f>
        <v>13</v>
      </c>
      <c r="AF24" s="213">
        <f t="shared" si="6"/>
        <v>0</v>
      </c>
      <c r="AG24" s="1028">
        <f>IFERROR(__xludf.DUMMYFUNCTION("""COMPUTED_VALUE"""),69.51666666666667)</f>
        <v>69.51666667</v>
      </c>
      <c r="AH24" s="213">
        <f>IFERROR(__xludf.DUMMYFUNCTION("""COMPUTED_VALUE"""),111.0)</f>
        <v>111</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c r="C25" s="1018"/>
      <c r="D25" s="1018"/>
      <c r="E25" s="1018"/>
      <c r="F25" s="1019">
        <f t="shared" si="2"/>
        <v>0</v>
      </c>
      <c r="G25" s="1020" t="str">
        <f t="shared" si="3"/>
        <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0</v>
      </c>
      <c r="J25" s="1022">
        <f t="shared" si="36"/>
        <v>0</v>
      </c>
      <c r="K25" s="185"/>
      <c r="L25" s="213" t="str">
        <f t="array" ref="L25">IFERROR(INDEX('💻シート作成'!$D$6:$D999, MATCH(M25, '💻シート作成'!$E$6:$E999, 0)), "")</f>
        <v>9月</v>
      </c>
      <c r="M25" s="913"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IFERROR(__xludf.DUMMYFUNCTION("""COMPUTED_VALUE"""),992.0)</f>
        <v>992</v>
      </c>
      <c r="AB25" s="1046" t="str">
        <f>IFERROR(__xludf.DUMMYFUNCTION("""COMPUTED_VALUE"""),"カビタ")</f>
        <v>カビタ</v>
      </c>
      <c r="AC25" s="213" t="str">
        <f>IFERROR(__xludf.DUMMYFUNCTION("""COMPUTED_VALUE"""),"チェッカー")</f>
        <v>チェッカー</v>
      </c>
      <c r="AD25" s="213" t="str">
        <f>IFERROR(__xludf.DUMMYFUNCTION("""COMPUTED_VALUE"""),"時給")</f>
        <v>時給</v>
      </c>
      <c r="AE25" s="1027">
        <f>IFERROR(__xludf.DUMMYFUNCTION("""COMPUTED_VALUE"""),1.0)</f>
        <v>1</v>
      </c>
      <c r="AF25" s="213">
        <f t="shared" si="6"/>
        <v>0</v>
      </c>
      <c r="AG25" s="1028">
        <f>IFERROR(__xludf.DUMMYFUNCTION("""COMPUTED_VALUE"""),0.25)</f>
        <v>0.25</v>
      </c>
      <c r="AH25" s="213">
        <f>IFERROR(__xludf.DUMMYFUNCTION("""COMPUTED_VALUE"""),0.0)</f>
        <v>0</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c r="C26" s="1018"/>
      <c r="D26" s="1018"/>
      <c r="E26" s="1018"/>
      <c r="F26" s="1019">
        <f t="shared" si="2"/>
        <v>0</v>
      </c>
      <c r="G26" s="1020" t="str">
        <f t="shared" si="3"/>
        <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0</v>
      </c>
      <c r="J26" s="1022">
        <f t="shared" si="37"/>
        <v>0</v>
      </c>
      <c r="K26" s="185"/>
      <c r="L26" s="213" t="str">
        <f t="array" ref="L26">IFERROR(INDEX('💻シート作成'!$D$6:$D999, MATCH(M26, '💻シート作成'!$E$6:$E999, 0)), "")</f>
        <v>9月</v>
      </c>
      <c r="M26" s="913"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IFERROR(__xludf.DUMMYFUNCTION("""COMPUTED_VALUE"""),994.0)</f>
        <v>994</v>
      </c>
      <c r="AB26" s="1046" t="str">
        <f>IFERROR(__xludf.DUMMYFUNCTION("""COMPUTED_VALUE"""),"ジャヤ")</f>
        <v>ジャヤ</v>
      </c>
      <c r="AC26" s="213" t="str">
        <f>IFERROR(__xludf.DUMMYFUNCTION("""COMPUTED_VALUE"""),"メイド")</f>
        <v>メイド</v>
      </c>
      <c r="AD26" s="213" t="str">
        <f>IFERROR(__xludf.DUMMYFUNCTION("""COMPUTED_VALUE"""),"歩合")</f>
        <v>歩合</v>
      </c>
      <c r="AE26" s="1027">
        <f>IFERROR(__xludf.DUMMYFUNCTION("""COMPUTED_VALUE"""),17.0)</f>
        <v>17</v>
      </c>
      <c r="AF26" s="213">
        <f t="shared" si="6"/>
        <v>0</v>
      </c>
      <c r="AG26" s="1028">
        <f>IFERROR(__xludf.DUMMYFUNCTION("""COMPUTED_VALUE"""),96.18333333333334)</f>
        <v>96.18333333</v>
      </c>
      <c r="AH26" s="213">
        <f>IFERROR(__xludf.DUMMYFUNCTION("""COMPUTED_VALUE"""),144.0)</f>
        <v>144</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c r="C27" s="1018"/>
      <c r="D27" s="1018"/>
      <c r="E27" s="1018"/>
      <c r="F27" s="1019">
        <f t="shared" si="2"/>
        <v>0</v>
      </c>
      <c r="G27" s="1020" t="str">
        <f t="shared" si="3"/>
        <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0</v>
      </c>
      <c r="J27" s="1022">
        <f t="shared" si="38"/>
        <v>0</v>
      </c>
      <c r="K27" s="185"/>
      <c r="L27" s="213" t="str">
        <f t="array" ref="L27">IFERROR(INDEX('💻シート作成'!$D$6:$D999, MATCH(M27, '💻シート作成'!$E$6:$E999, 0)), "")</f>
        <v>8月</v>
      </c>
      <c r="M27" s="913"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IFERROR(__xludf.DUMMYFUNCTION("""COMPUTED_VALUE"""),1153.0)</f>
        <v>1153</v>
      </c>
      <c r="AB27" s="1046" t="str">
        <f>IFERROR(__xludf.DUMMYFUNCTION("""COMPUTED_VALUE"""),"大橋")</f>
        <v>大橋</v>
      </c>
      <c r="AC27" s="213" t="str">
        <f>IFERROR(__xludf.DUMMYFUNCTION("""COMPUTED_VALUE"""),"営繕")</f>
        <v>営繕</v>
      </c>
      <c r="AD27" s="213" t="str">
        <f>IFERROR(__xludf.DUMMYFUNCTION("""COMPUTED_VALUE"""),"時給")</f>
        <v>時給</v>
      </c>
      <c r="AE27" s="1027">
        <f>IFERROR(__xludf.DUMMYFUNCTION("""COMPUTED_VALUE"""),21.0)</f>
        <v>21</v>
      </c>
      <c r="AF27" s="213">
        <f t="shared" si="6"/>
        <v>0</v>
      </c>
      <c r="AG27" s="1028">
        <f>IFERROR(__xludf.DUMMYFUNCTION("""COMPUTED_VALUE"""),110.5)</f>
        <v>110.5</v>
      </c>
      <c r="AH27" s="213">
        <f>IFERROR(__xludf.DUMMYFUNCTION("""COMPUTED_VALUE"""),0.0)</f>
        <v>0</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c r="C28" s="1018"/>
      <c r="D28" s="1018"/>
      <c r="E28" s="1018"/>
      <c r="F28" s="1019">
        <f t="shared" si="2"/>
        <v>0</v>
      </c>
      <c r="G28" s="1020" t="str">
        <f t="shared" si="3"/>
        <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0</v>
      </c>
      <c r="J28" s="1022">
        <f t="shared" si="39"/>
        <v>0</v>
      </c>
      <c r="K28" s="185"/>
      <c r="L28" s="213" t="str">
        <f t="array" ref="L28">IFERROR(INDEX('💻シート作成'!$D$6:$D999, MATCH(M28, '💻シート作成'!$E$6:$E999, 0)), "")</f>
        <v>8月</v>
      </c>
      <c r="M28" s="913"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IFERROR(__xludf.DUMMYFUNCTION("""COMPUTED_VALUE"""),1214.0)</f>
        <v>1214</v>
      </c>
      <c r="AB28" s="1046" t="str">
        <f>IFERROR(__xludf.DUMMYFUNCTION("""COMPUTED_VALUE"""),"マニシャ")</f>
        <v>マニシャ</v>
      </c>
      <c r="AC28" s="213" t="str">
        <f>IFERROR(__xludf.DUMMYFUNCTION("""COMPUTED_VALUE"""),"チェッカー")</f>
        <v>チェッカー</v>
      </c>
      <c r="AD28" s="213" t="str">
        <f>IFERROR(__xludf.DUMMYFUNCTION("""COMPUTED_VALUE"""),"時給")</f>
        <v>時給</v>
      </c>
      <c r="AE28" s="1027">
        <f>IFERROR(__xludf.DUMMYFUNCTION("""COMPUTED_VALUE"""),18.0)</f>
        <v>18</v>
      </c>
      <c r="AF28" s="213">
        <f t="shared" si="6"/>
        <v>0</v>
      </c>
      <c r="AG28" s="1028">
        <f>IFERROR(__xludf.DUMMYFUNCTION("""COMPUTED_VALUE"""),122.0)</f>
        <v>122</v>
      </c>
      <c r="AH28" s="213">
        <f>IFERROR(__xludf.DUMMYFUNCTION("""COMPUTED_VALUE"""),0.0)</f>
        <v>0</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c r="C29" s="1018"/>
      <c r="D29" s="1018"/>
      <c r="E29" s="1018"/>
      <c r="F29" s="1019">
        <f t="shared" si="2"/>
        <v>0</v>
      </c>
      <c r="G29" s="1020" t="str">
        <f t="shared" si="3"/>
        <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0</v>
      </c>
      <c r="J29" s="1022">
        <f t="shared" si="40"/>
        <v>0</v>
      </c>
      <c r="K29" s="185"/>
      <c r="L29" s="213" t="str">
        <f t="array" ref="L29">IFERROR(INDEX('💻シート作成'!$D$6:$D999, MATCH(M29, '💻シート作成'!$E$6:$E999, 0)), "")</f>
        <v>8月</v>
      </c>
      <c r="M29" s="913"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IFERROR(__xludf.DUMMYFUNCTION("""COMPUTED_VALUE"""),1215.0)</f>
        <v>1215</v>
      </c>
      <c r="AB29" s="1046" t="str">
        <f>IFERROR(__xludf.DUMMYFUNCTION("""COMPUTED_VALUE"""),"ヤソダ")</f>
        <v>ヤソダ</v>
      </c>
      <c r="AC29" s="213" t="str">
        <f>IFERROR(__xludf.DUMMYFUNCTION("""COMPUTED_VALUE"""),"チェッカー")</f>
        <v>チェッカー</v>
      </c>
      <c r="AD29" s="213" t="str">
        <f>IFERROR(__xludf.DUMMYFUNCTION("""COMPUTED_VALUE"""),"時給")</f>
        <v>時給</v>
      </c>
      <c r="AE29" s="1027">
        <f>IFERROR(__xludf.DUMMYFUNCTION("""COMPUTED_VALUE"""),3.0)</f>
        <v>3</v>
      </c>
      <c r="AF29" s="213">
        <f t="shared" si="6"/>
        <v>0</v>
      </c>
      <c r="AG29" s="1028">
        <f>IFERROR(__xludf.DUMMYFUNCTION("""COMPUTED_VALUE"""),20.5)</f>
        <v>20.5</v>
      </c>
      <c r="AH29" s="213">
        <f>IFERROR(__xludf.DUMMYFUNCTION("""COMPUTED_VALUE"""),0.0)</f>
        <v>0</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c r="C30" s="1018"/>
      <c r="D30" s="1018"/>
      <c r="E30" s="1018"/>
      <c r="F30" s="1019">
        <f t="shared" si="2"/>
        <v>0</v>
      </c>
      <c r="G30" s="1020" t="str">
        <f t="shared" si="3"/>
        <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1">
        <f t="shared" si="41"/>
        <v>0</v>
      </c>
      <c r="J30" s="1022">
        <f t="shared" si="41"/>
        <v>0</v>
      </c>
      <c r="K30" s="185"/>
      <c r="L30" s="213" t="str">
        <f t="array" ref="L30">IFERROR(INDEX('💻シート作成'!$D$6:$D999, MATCH(M30, '💻シート作成'!$E$6:$E999, 0)), "")</f>
        <v>8月</v>
      </c>
      <c r="M30" s="913"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IFERROR(__xludf.DUMMYFUNCTION("""COMPUTED_VALUE"""),1218.0)</f>
        <v>1218</v>
      </c>
      <c r="AB30" s="1046" t="str">
        <f>IFERROR(__xludf.DUMMYFUNCTION("""COMPUTED_VALUE"""),"大塚")</f>
        <v>大塚</v>
      </c>
      <c r="AC30" s="213" t="str">
        <f>IFERROR(__xludf.DUMMYFUNCTION("""COMPUTED_VALUE"""),"チェッカー")</f>
        <v>チェッカー</v>
      </c>
      <c r="AD30" s="213" t="str">
        <f>IFERROR(__xludf.DUMMYFUNCTION("""COMPUTED_VALUE"""),"時給")</f>
        <v>時給</v>
      </c>
      <c r="AE30" s="1027">
        <f>IFERROR(__xludf.DUMMYFUNCTION("""COMPUTED_VALUE"""),9.0)</f>
        <v>9</v>
      </c>
      <c r="AF30" s="213">
        <f t="shared" si="6"/>
        <v>1</v>
      </c>
      <c r="AG30" s="1028">
        <f>IFERROR(__xludf.DUMMYFUNCTION("""COMPUTED_VALUE"""),58.25)</f>
        <v>58.25</v>
      </c>
      <c r="AH30" s="213">
        <f>IFERROR(__xludf.DUMMYFUNCTION("""COMPUTED_VALUE"""),0.0)</f>
        <v>0</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c r="C31" s="1018"/>
      <c r="D31" s="1018"/>
      <c r="E31" s="1018"/>
      <c r="F31" s="1019">
        <f t="shared" si="2"/>
        <v>0</v>
      </c>
      <c r="G31" s="1020" t="str">
        <f t="shared" si="3"/>
        <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0</v>
      </c>
      <c r="J31" s="1022">
        <f t="shared" si="42"/>
        <v>0</v>
      </c>
      <c r="K31" s="185"/>
      <c r="L31" s="213" t="str">
        <f t="array" ref="L31">IFERROR(INDEX('💻シート作成'!$D$6:$D999, MATCH(M31, '💻シート作成'!$E$6:$E999, 0)), "")</f>
        <v>7月</v>
      </c>
      <c r="M31" s="913"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IFERROR(__xludf.DUMMYFUNCTION("""COMPUTED_VALUE"""),1385.0)</f>
        <v>1385</v>
      </c>
      <c r="AB31" s="104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7">
        <f>IFERROR(__xludf.DUMMYFUNCTION("""COMPUTED_VALUE"""),12.0)</f>
        <v>12</v>
      </c>
      <c r="AF31" s="213">
        <f t="shared" si="6"/>
        <v>0</v>
      </c>
      <c r="AG31" s="1028">
        <f>IFERROR(__xludf.DUMMYFUNCTION("""COMPUTED_VALUE"""),81.75)</f>
        <v>81.75</v>
      </c>
      <c r="AH31" s="213">
        <f>IFERROR(__xludf.DUMMYFUNCTION("""COMPUTED_VALUE"""),0.0)</f>
        <v>0</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c r="C32" s="1018"/>
      <c r="D32" s="1018"/>
      <c r="E32" s="1018"/>
      <c r="F32" s="1019">
        <f t="shared" si="2"/>
        <v>0</v>
      </c>
      <c r="G32" s="1020" t="str">
        <f t="shared" si="3"/>
        <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1">
        <f t="shared" si="43"/>
        <v>0</v>
      </c>
      <c r="J32" s="1022">
        <f t="shared" si="43"/>
        <v>0</v>
      </c>
      <c r="K32" s="185"/>
      <c r="L32" s="213" t="str">
        <f t="array" ref="L32">IFERROR(INDEX('💻シート作成'!$D$6:$D999, MATCH(M32, '💻シート作成'!$E$6:$E999, 0)), "")</f>
        <v>7月</v>
      </c>
      <c r="M32" s="913"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IFERROR(__xludf.DUMMYFUNCTION("""COMPUTED_VALUE"""),1405.0)</f>
        <v>1405</v>
      </c>
      <c r="AB32" s="1046" t="str">
        <f>IFERROR(__xludf.DUMMYFUNCTION("""COMPUTED_VALUE"""),"プレム")</f>
        <v>プレム</v>
      </c>
      <c r="AC32" s="213" t="str">
        <f>IFERROR(__xludf.DUMMYFUNCTION("""COMPUTED_VALUE"""),"メイド")</f>
        <v>メイド</v>
      </c>
      <c r="AD32" s="213" t="str">
        <f>IFERROR(__xludf.DUMMYFUNCTION("""COMPUTED_VALUE"""),"歩合")</f>
        <v>歩合</v>
      </c>
      <c r="AE32" s="1027">
        <f>IFERROR(__xludf.DUMMYFUNCTION("""COMPUTED_VALUE"""),27.0)</f>
        <v>27</v>
      </c>
      <c r="AF32" s="213">
        <f t="shared" si="6"/>
        <v>0</v>
      </c>
      <c r="AG32" s="1028">
        <f>IFERROR(__xludf.DUMMYFUNCTION("""COMPUTED_VALUE"""),142.26666666666668)</f>
        <v>142.2666667</v>
      </c>
      <c r="AH32" s="213">
        <f>IFERROR(__xludf.DUMMYFUNCTION("""COMPUTED_VALUE"""),254.0)</f>
        <v>254</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c r="C33" s="1018"/>
      <c r="D33" s="1018"/>
      <c r="E33" s="1018"/>
      <c r="F33" s="1019">
        <f t="shared" si="2"/>
        <v>0</v>
      </c>
      <c r="G33" s="1020" t="str">
        <f t="shared" si="3"/>
        <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1">
        <f t="shared" si="44"/>
        <v>0</v>
      </c>
      <c r="J33" s="1022">
        <f t="shared" si="44"/>
        <v>0</v>
      </c>
      <c r="K33" s="185"/>
      <c r="L33" s="213" t="str">
        <f t="array" ref="L33">IFERROR(INDEX('💻シート作成'!$D$6:$D999, MATCH(M33, '💻シート作成'!$E$6:$E999, 0)), "")</f>
        <v>7月</v>
      </c>
      <c r="M33" s="913"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IFERROR(__xludf.DUMMYFUNCTION("""COMPUTED_VALUE"""),1489.0)</f>
        <v>1489</v>
      </c>
      <c r="AB33" s="1046" t="str">
        <f>IFERROR(__xludf.DUMMYFUNCTION("""COMPUTED_VALUE"""),"ヒマ")</f>
        <v>ヒマ</v>
      </c>
      <c r="AC33" s="213" t="str">
        <f>IFERROR(__xludf.DUMMYFUNCTION("""COMPUTED_VALUE"""),"パブリック")</f>
        <v>パブリック</v>
      </c>
      <c r="AD33" s="213" t="str">
        <f>IFERROR(__xludf.DUMMYFUNCTION("""COMPUTED_VALUE"""),"時給")</f>
        <v>時給</v>
      </c>
      <c r="AE33" s="1027">
        <f>IFERROR(__xludf.DUMMYFUNCTION("""COMPUTED_VALUE"""),26.0)</f>
        <v>26</v>
      </c>
      <c r="AF33" s="213">
        <f t="shared" si="6"/>
        <v>0</v>
      </c>
      <c r="AG33" s="1028">
        <f>IFERROR(__xludf.DUMMYFUNCTION("""COMPUTED_VALUE"""),159.25)</f>
        <v>159.25</v>
      </c>
      <c r="AH33" s="213">
        <f>IFERROR(__xludf.DUMMYFUNCTION("""COMPUTED_VALUE"""),0.0)</f>
        <v>0</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c r="C34" s="1018"/>
      <c r="D34" s="1018"/>
      <c r="E34" s="1018"/>
      <c r="F34" s="1019">
        <f t="shared" si="2"/>
        <v>0</v>
      </c>
      <c r="G34" s="1020" t="str">
        <f t="shared" si="3"/>
        <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0</v>
      </c>
      <c r="J34" s="1022">
        <f t="shared" si="45"/>
        <v>0</v>
      </c>
      <c r="K34" s="185"/>
      <c r="L34" s="213" t="str">
        <f t="array" ref="L34">IFERROR(INDEX('💻シート作成'!$D$6:$D999, MATCH(M34, '💻シート作成'!$E$6:$E999, 0)), "")</f>
        <v>7月</v>
      </c>
      <c r="M34" s="913"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IFERROR(__xludf.DUMMYFUNCTION("""COMPUTED_VALUE"""),1554.0)</f>
        <v>1554</v>
      </c>
      <c r="AB34" s="1046" t="str">
        <f>IFERROR(__xludf.DUMMYFUNCTION("""COMPUTED_VALUE"""),"ミナ")</f>
        <v>ミナ</v>
      </c>
      <c r="AC34" s="213" t="str">
        <f>IFERROR(__xludf.DUMMYFUNCTION("""COMPUTED_VALUE"""),"メイド")</f>
        <v>メイド</v>
      </c>
      <c r="AD34" s="213" t="str">
        <f>IFERROR(__xludf.DUMMYFUNCTION("""COMPUTED_VALUE"""),"歩合")</f>
        <v>歩合</v>
      </c>
      <c r="AE34" s="1027">
        <f>IFERROR(__xludf.DUMMYFUNCTION("""COMPUTED_VALUE"""),28.0)</f>
        <v>28</v>
      </c>
      <c r="AF34" s="213">
        <f t="shared" si="6"/>
        <v>0</v>
      </c>
      <c r="AG34" s="1028">
        <f>IFERROR(__xludf.DUMMYFUNCTION("""COMPUTED_VALUE"""),168.31666666666666)</f>
        <v>168.3166667</v>
      </c>
      <c r="AH34" s="213">
        <f>IFERROR(__xludf.DUMMYFUNCTION("""COMPUTED_VALUE"""),248.0)</f>
        <v>248</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c r="C35" s="1018"/>
      <c r="D35" s="1018"/>
      <c r="E35" s="1018"/>
      <c r="F35" s="1019">
        <f t="shared" si="2"/>
        <v>0</v>
      </c>
      <c r="G35" s="1020" t="str">
        <f t="shared" si="3"/>
        <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0</v>
      </c>
      <c r="J35" s="1022">
        <f t="shared" si="46"/>
        <v>0</v>
      </c>
      <c r="K35" s="185"/>
      <c r="L35" s="213" t="str">
        <f t="array" ref="L35">IFERROR(INDEX('💻シート作成'!$D$6:$D999, MATCH(M35, '💻シート作成'!$E$6:$E999, 0)), "")</f>
        <v>6月</v>
      </c>
      <c r="M35" s="913"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IFERROR(__xludf.DUMMYFUNCTION("""COMPUTED_VALUE"""),1607.0)</f>
        <v>1607</v>
      </c>
      <c r="AB35" s="1046" t="str">
        <f>IFERROR(__xludf.DUMMYFUNCTION("""COMPUTED_VALUE"""),"バハドル")</f>
        <v>バハドル</v>
      </c>
      <c r="AC35" s="213" t="str">
        <f>IFERROR(__xludf.DUMMYFUNCTION("""COMPUTED_VALUE"""),"メイド")</f>
        <v>メイド</v>
      </c>
      <c r="AD35" s="213" t="str">
        <f>IFERROR(__xludf.DUMMYFUNCTION("""COMPUTED_VALUE"""),"歩合")</f>
        <v>歩合</v>
      </c>
      <c r="AE35" s="1027">
        <f>IFERROR(__xludf.DUMMYFUNCTION("""COMPUTED_VALUE"""),13.0)</f>
        <v>13</v>
      </c>
      <c r="AF35" s="213">
        <f t="shared" si="6"/>
        <v>3</v>
      </c>
      <c r="AG35" s="1028">
        <f>IFERROR(__xludf.DUMMYFUNCTION("""COMPUTED_VALUE"""),67.23333333333333)</f>
        <v>67.23333333</v>
      </c>
      <c r="AH35" s="213">
        <f>IFERROR(__xludf.DUMMYFUNCTION("""COMPUTED_VALUE"""),130.0)</f>
        <v>130</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c r="C36" s="1018"/>
      <c r="D36" s="1018"/>
      <c r="E36" s="1018"/>
      <c r="F36" s="1019">
        <f t="shared" si="2"/>
        <v>0</v>
      </c>
      <c r="G36" s="1020" t="str">
        <f t="shared" si="3"/>
        <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1">
        <f t="shared" si="47"/>
        <v>0</v>
      </c>
      <c r="J36" s="1022">
        <f t="shared" si="47"/>
        <v>0</v>
      </c>
      <c r="K36" s="185"/>
      <c r="L36" s="213" t="str">
        <f t="array" ref="L36">IFERROR(INDEX('💻シート作成'!$D$6:$D999, MATCH(M36, '💻シート作成'!$E$6:$E999, 0)), "")</f>
        <v>6月</v>
      </c>
      <c r="M36" s="913"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IFERROR(__xludf.DUMMYFUNCTION("""COMPUTED_VALUE"""),2033.0)</f>
        <v>2033</v>
      </c>
      <c r="AB36" s="1046" t="str">
        <f>IFERROR(__xludf.DUMMYFUNCTION("""COMPUTED_VALUE"""),"アニタ")</f>
        <v>アニタ</v>
      </c>
      <c r="AC36" s="213" t="str">
        <f>IFERROR(__xludf.DUMMYFUNCTION("""COMPUTED_VALUE"""),"メイド")</f>
        <v>メイド</v>
      </c>
      <c r="AD36" s="213" t="str">
        <f>IFERROR(__xludf.DUMMYFUNCTION("""COMPUTED_VALUE"""),"歩合")</f>
        <v>歩合</v>
      </c>
      <c r="AE36" s="1027">
        <f>IFERROR(__xludf.DUMMYFUNCTION("""COMPUTED_VALUE"""),27.0)</f>
        <v>27</v>
      </c>
      <c r="AF36" s="213">
        <f t="shared" si="6"/>
        <v>0</v>
      </c>
      <c r="AG36" s="1028">
        <f>IFERROR(__xludf.DUMMYFUNCTION("""COMPUTED_VALUE"""),170.91666666666666)</f>
        <v>170.9166667</v>
      </c>
      <c r="AH36" s="213">
        <f>IFERROR(__xludf.DUMMYFUNCTION("""COMPUTED_VALUE"""),230.0)</f>
        <v>230</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c r="C37" s="1018"/>
      <c r="D37" s="1018"/>
      <c r="E37" s="1018"/>
      <c r="F37" s="1019">
        <f t="shared" si="2"/>
        <v>0</v>
      </c>
      <c r="G37" s="1020" t="str">
        <f t="shared" si="3"/>
        <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0</v>
      </c>
      <c r="J37" s="1022">
        <f t="shared" si="48"/>
        <v>0</v>
      </c>
      <c r="K37" s="185"/>
      <c r="L37" s="213" t="str">
        <f t="array" ref="L37">IFERROR(INDEX('💻シート作成'!$D$6:$D999, MATCH(M37, '💻シート作成'!$E$6:$E999, 0)), "")</f>
        <v>6月</v>
      </c>
      <c r="M37" s="913"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IFERROR(__xludf.DUMMYFUNCTION("""COMPUTED_VALUE"""),2034.0)</f>
        <v>2034</v>
      </c>
      <c r="AB37" s="1046" t="str">
        <f>IFERROR(__xludf.DUMMYFUNCTION("""COMPUTED_VALUE"""),"サヌ")</f>
        <v>サヌ</v>
      </c>
      <c r="AC37" s="213" t="str">
        <f>IFERROR(__xludf.DUMMYFUNCTION("""COMPUTED_VALUE"""),"メイド")</f>
        <v>メイド</v>
      </c>
      <c r="AD37" s="213" t="str">
        <f>IFERROR(__xludf.DUMMYFUNCTION("""COMPUTED_VALUE"""),"歩合")</f>
        <v>歩合</v>
      </c>
      <c r="AE37" s="1027">
        <f>IFERROR(__xludf.DUMMYFUNCTION("""COMPUTED_VALUE"""),7.0)</f>
        <v>7</v>
      </c>
      <c r="AF37" s="213">
        <f t="shared" si="6"/>
        <v>1</v>
      </c>
      <c r="AG37" s="1028">
        <f>IFERROR(__xludf.DUMMYFUNCTION("""COMPUTED_VALUE"""),44.88333333333333)</f>
        <v>44.88333333</v>
      </c>
      <c r="AH37" s="213">
        <f>IFERROR(__xludf.DUMMYFUNCTION("""COMPUTED_VALUE"""),54.0)</f>
        <v>54</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8"/>
      <c r="C38" s="1018"/>
      <c r="D38" s="1018"/>
      <c r="E38" s="1018"/>
      <c r="F38" s="1019">
        <f t="shared" si="2"/>
        <v>0</v>
      </c>
      <c r="G38" s="1020" t="str">
        <f t="shared" si="3"/>
        <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1">
        <f t="shared" si="49"/>
        <v>0</v>
      </c>
      <c r="J38" s="1022">
        <f t="shared" si="49"/>
        <v>0</v>
      </c>
      <c r="K38" s="185"/>
      <c r="L38" s="213" t="str">
        <f t="array" ref="L38">IFERROR(INDEX('💻シート作成'!$D$6:$D999, MATCH(M38, '💻シート作成'!$E$6:$E999, 0)), "")</f>
        <v>6月</v>
      </c>
      <c r="M38" s="913"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IFERROR(__xludf.DUMMYFUNCTION("""COMPUTED_VALUE"""),2035.0)</f>
        <v>2035</v>
      </c>
      <c r="AB38" s="1046" t="str">
        <f>IFERROR(__xludf.DUMMYFUNCTION("""COMPUTED_VALUE"""),"スシミタ")</f>
        <v>スシミタ</v>
      </c>
      <c r="AC38" s="213" t="str">
        <f>IFERROR(__xludf.DUMMYFUNCTION("""COMPUTED_VALUE"""),"メイド")</f>
        <v>メイド</v>
      </c>
      <c r="AD38" s="213" t="str">
        <f>IFERROR(__xludf.DUMMYFUNCTION("""COMPUTED_VALUE"""),"歩合")</f>
        <v>歩合</v>
      </c>
      <c r="AE38" s="1027">
        <f>IFERROR(__xludf.DUMMYFUNCTION("""COMPUTED_VALUE"""),14.0)</f>
        <v>14</v>
      </c>
      <c r="AF38" s="213">
        <f t="shared" si="6"/>
        <v>0</v>
      </c>
      <c r="AG38" s="1028">
        <f>IFERROR(__xludf.DUMMYFUNCTION("""COMPUTED_VALUE"""),73.48333333333333)</f>
        <v>73.48333333</v>
      </c>
      <c r="AH38" s="213">
        <f>IFERROR(__xludf.DUMMYFUNCTION("""COMPUTED_VALUE"""),120.0)</f>
        <v>120</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8"/>
      <c r="C39" s="1018"/>
      <c r="D39" s="1018"/>
      <c r="E39" s="1018"/>
      <c r="F39" s="1019">
        <f t="shared" si="2"/>
        <v>0</v>
      </c>
      <c r="G39" s="1020" t="str">
        <f t="shared" si="3"/>
        <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0</v>
      </c>
      <c r="J39" s="1022">
        <f t="shared" si="50"/>
        <v>0</v>
      </c>
      <c r="K39" s="185"/>
      <c r="L39" s="213" t="str">
        <f t="array" ref="L39">IFERROR(INDEX('💻シート作成'!$D$6:$D999, MATCH(M39, '💻シート作成'!$E$6:$E999, 0)), "")</f>
        <v>5月</v>
      </c>
      <c r="M39" s="913"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IFERROR(__xludf.DUMMYFUNCTION("""COMPUTED_VALUE"""),2037.0)</f>
        <v>2037</v>
      </c>
      <c r="AB39" s="1046" t="str">
        <f>IFERROR(__xludf.DUMMYFUNCTION("""COMPUTED_VALUE"""),"ビニタ")</f>
        <v>ビニタ</v>
      </c>
      <c r="AC39" s="213" t="str">
        <f>IFERROR(__xludf.DUMMYFUNCTION("""COMPUTED_VALUE"""),"チェッカー")</f>
        <v>チェッカー</v>
      </c>
      <c r="AD39" s="213" t="str">
        <f>IFERROR(__xludf.DUMMYFUNCTION("""COMPUTED_VALUE"""),"時給")</f>
        <v>時給</v>
      </c>
      <c r="AE39" s="1027">
        <f>IFERROR(__xludf.DUMMYFUNCTION("""COMPUTED_VALUE"""),17.0)</f>
        <v>17</v>
      </c>
      <c r="AF39" s="213">
        <f t="shared" si="6"/>
        <v>0</v>
      </c>
      <c r="AG39" s="1028">
        <f>IFERROR(__xludf.DUMMYFUNCTION("""COMPUTED_VALUE"""),114.5)</f>
        <v>114.5</v>
      </c>
      <c r="AH39" s="213">
        <f>IFERROR(__xludf.DUMMYFUNCTION("""COMPUTED_VALUE"""),0.0)</f>
        <v>0</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8"/>
      <c r="C40" s="1018"/>
      <c r="D40" s="1018"/>
      <c r="E40" s="1018"/>
      <c r="F40" s="1019">
        <f t="shared" si="2"/>
        <v>0</v>
      </c>
      <c r="G40" s="1020" t="str">
        <f t="shared" si="3"/>
        <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0</v>
      </c>
      <c r="J40" s="1022">
        <f t="shared" si="51"/>
        <v>0</v>
      </c>
      <c r="K40" s="185"/>
      <c r="L40" s="213" t="str">
        <f t="array" ref="L40">IFERROR(INDEX('💻シート作成'!$D$6:$D999, MATCH(M40, '💻シート作成'!$E$6:$E999, 0)), "")</f>
        <v>5月</v>
      </c>
      <c r="M40" s="913"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IFERROR(__xludf.DUMMYFUNCTION("""COMPUTED_VALUE"""),2096.0)</f>
        <v>2096</v>
      </c>
      <c r="AB40" s="1046" t="str">
        <f>IFERROR(__xludf.DUMMYFUNCTION("""COMPUTED_VALUE"""),"パンデェ")</f>
        <v>パンデェ</v>
      </c>
      <c r="AC40" s="213" t="str">
        <f>IFERROR(__xludf.DUMMYFUNCTION("""COMPUTED_VALUE"""),"メイド")</f>
        <v>メイド</v>
      </c>
      <c r="AD40" s="213" t="str">
        <f>IFERROR(__xludf.DUMMYFUNCTION("""COMPUTED_VALUE"""),"歩合")</f>
        <v>歩合</v>
      </c>
      <c r="AE40" s="1027">
        <f>IFERROR(__xludf.DUMMYFUNCTION("""COMPUTED_VALUE"""),26.0)</f>
        <v>26</v>
      </c>
      <c r="AF40" s="213">
        <f t="shared" si="6"/>
        <v>0</v>
      </c>
      <c r="AG40" s="1028">
        <f>IFERROR(__xludf.DUMMYFUNCTION("""COMPUTED_VALUE"""),167.16666666666666)</f>
        <v>167.1666667</v>
      </c>
      <c r="AH40" s="213">
        <f>IFERROR(__xludf.DUMMYFUNCTION("""COMPUTED_VALUE"""),220.0)</f>
        <v>220</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8"/>
      <c r="C41" s="1018"/>
      <c r="D41" s="1018"/>
      <c r="E41" s="1018"/>
      <c r="F41" s="1019">
        <f t="shared" si="2"/>
        <v>0</v>
      </c>
      <c r="G41" s="1020" t="str">
        <f t="shared" si="3"/>
        <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0</v>
      </c>
      <c r="J41" s="1022">
        <f t="shared" si="52"/>
        <v>0</v>
      </c>
      <c r="K41" s="185"/>
      <c r="L41" s="213" t="str">
        <f t="array" ref="L41">IFERROR(INDEX('💻シート作成'!$D$6:$D999, MATCH(M41, '💻シート作成'!$E$6:$E999, 0)), "")</f>
        <v>5月</v>
      </c>
      <c r="M41" s="913"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IFERROR(__xludf.DUMMYFUNCTION("""COMPUTED_VALUE"""),2118.0)</f>
        <v>2118</v>
      </c>
      <c r="AB41" s="1046" t="str">
        <f>IFERROR(__xludf.DUMMYFUNCTION("""COMPUTED_VALUE"""),"佐竹")</f>
        <v>佐竹</v>
      </c>
      <c r="AC41" s="213" t="str">
        <f>IFERROR(__xludf.DUMMYFUNCTION("""COMPUTED_VALUE"""),"チェッカー")</f>
        <v>チェッカー</v>
      </c>
      <c r="AD41" s="213" t="str">
        <f>IFERROR(__xludf.DUMMYFUNCTION("""COMPUTED_VALUE"""),"時給")</f>
        <v>時給</v>
      </c>
      <c r="AE41" s="1027">
        <f>IFERROR(__xludf.DUMMYFUNCTION("""COMPUTED_VALUE"""),17.0)</f>
        <v>17</v>
      </c>
      <c r="AF41" s="213">
        <f t="shared" si="6"/>
        <v>0</v>
      </c>
      <c r="AG41" s="1028">
        <f>IFERROR(__xludf.DUMMYFUNCTION("""COMPUTED_VALUE"""),155.25)</f>
        <v>155.25</v>
      </c>
      <c r="AH41" s="213">
        <f>IFERROR(__xludf.DUMMYFUNCTION("""COMPUTED_VALUE"""),0.0)</f>
        <v>0</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8"/>
      <c r="C42" s="1018"/>
      <c r="D42" s="1018"/>
      <c r="E42" s="1018"/>
      <c r="F42" s="1019">
        <f t="shared" si="2"/>
        <v>0</v>
      </c>
      <c r="G42" s="1020" t="str">
        <f t="shared" si="3"/>
        <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1">
        <f t="shared" si="53"/>
        <v>0</v>
      </c>
      <c r="J42" s="1022">
        <f t="shared" si="53"/>
        <v>0</v>
      </c>
      <c r="K42" s="185"/>
      <c r="L42" s="213" t="str">
        <f t="array" ref="L42">IFERROR(INDEX('💻シート作成'!$D$6:$D999, MATCH(M42, '💻シート作成'!$E$6:$E999, 0)), "")</f>
        <v>5月</v>
      </c>
      <c r="M42" s="913"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IFERROR(__xludf.DUMMYFUNCTION("""COMPUTED_VALUE"""),2173.0)</f>
        <v>2173</v>
      </c>
      <c r="AB42" s="1046" t="str">
        <f>IFERROR(__xludf.DUMMYFUNCTION("""COMPUTED_VALUE"""),"チティザ")</f>
        <v>チティザ</v>
      </c>
      <c r="AC42" s="213" t="str">
        <f>IFERROR(__xludf.DUMMYFUNCTION("""COMPUTED_VALUE"""),"メイド")</f>
        <v>メイド</v>
      </c>
      <c r="AD42" s="213" t="str">
        <f>IFERROR(__xludf.DUMMYFUNCTION("""COMPUTED_VALUE"""),"歩+時")</f>
        <v>歩+時</v>
      </c>
      <c r="AE42" s="1027">
        <f>IFERROR(__xludf.DUMMYFUNCTION("""COMPUTED_VALUE"""),28.0)</f>
        <v>28</v>
      </c>
      <c r="AF42" s="213">
        <f t="shared" si="6"/>
        <v>0</v>
      </c>
      <c r="AG42" s="1028">
        <f>IFERROR(__xludf.DUMMYFUNCTION("""COMPUTED_VALUE"""),180.73333333333332)</f>
        <v>180.7333333</v>
      </c>
      <c r="AH42" s="213">
        <f>IFERROR(__xludf.DUMMYFUNCTION("""COMPUTED_VALUE"""),180.0)</f>
        <v>180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8"/>
      <c r="C43" s="1018"/>
      <c r="D43" s="1018"/>
      <c r="E43" s="1018"/>
      <c r="F43" s="1019">
        <f t="shared" si="2"/>
        <v>0</v>
      </c>
      <c r="G43" s="1020" t="str">
        <f t="shared" si="3"/>
        <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0</v>
      </c>
      <c r="J43" s="1022">
        <f t="shared" si="54"/>
        <v>0</v>
      </c>
      <c r="K43" s="185"/>
      <c r="L43" s="213" t="str">
        <f t="array" ref="L43">IFERROR(INDEX('💻シート作成'!$D$6:$D999, MATCH(M43, '💻シート作成'!$E$6:$E999, 0)), "")</f>
        <v>4月</v>
      </c>
      <c r="M43" s="913"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IFERROR(__xludf.DUMMYFUNCTION("""COMPUTED_VALUE"""),2180.0)</f>
        <v>2180</v>
      </c>
      <c r="AB43" s="1046" t="str">
        <f>IFERROR(__xludf.DUMMYFUNCTION("""COMPUTED_VALUE"""),"イシュワラ")</f>
        <v>イシュワラ</v>
      </c>
      <c r="AC43" s="213" t="str">
        <f>IFERROR(__xludf.DUMMYFUNCTION("""COMPUTED_VALUE"""),"チェッカー")</f>
        <v>チェッカー</v>
      </c>
      <c r="AD43" s="213" t="str">
        <f>IFERROR(__xludf.DUMMYFUNCTION("""COMPUTED_VALUE"""),"時給")</f>
        <v>時給</v>
      </c>
      <c r="AE43" s="1027">
        <f>IFERROR(__xludf.DUMMYFUNCTION("""COMPUTED_VALUE"""),16.0)</f>
        <v>16</v>
      </c>
      <c r="AF43" s="213">
        <f t="shared" si="6"/>
        <v>0</v>
      </c>
      <c r="AG43" s="1028">
        <f>IFERROR(__xludf.DUMMYFUNCTION("""COMPUTED_VALUE"""),114.0)</f>
        <v>114</v>
      </c>
      <c r="AH43" s="213">
        <f>IFERROR(__xludf.DUMMYFUNCTION("""COMPUTED_VALUE"""),0.0)</f>
        <v>0</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8"/>
      <c r="C44" s="1018"/>
      <c r="D44" s="1018"/>
      <c r="E44" s="1018"/>
      <c r="F44" s="1019">
        <f t="shared" si="2"/>
        <v>0</v>
      </c>
      <c r="G44" s="1020" t="str">
        <f t="shared" si="3"/>
        <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0</v>
      </c>
      <c r="J44" s="1022">
        <f t="shared" si="55"/>
        <v>0</v>
      </c>
      <c r="K44" s="185"/>
      <c r="L44" s="213" t="str">
        <f t="array" ref="L44">IFERROR(INDEX('💻シート作成'!$D$6:$D999, MATCH(M44, '💻シート作成'!$E$6:$E999, 0)), "")</f>
        <v>4月</v>
      </c>
      <c r="M44" s="913"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IFERROR(__xludf.DUMMYFUNCTION("""COMPUTED_VALUE"""),2181.0)</f>
        <v>2181</v>
      </c>
      <c r="AB44" s="1046" t="str">
        <f>IFERROR(__xludf.DUMMYFUNCTION("""COMPUTED_VALUE"""),"リジャル")</f>
        <v>リジャル</v>
      </c>
      <c r="AC44" s="213" t="str">
        <f>IFERROR(__xludf.DUMMYFUNCTION("""COMPUTED_VALUE"""),"メイド")</f>
        <v>メイド</v>
      </c>
      <c r="AD44" s="213" t="str">
        <f>IFERROR(__xludf.DUMMYFUNCTION("""COMPUTED_VALUE"""),"歩合")</f>
        <v>歩合</v>
      </c>
      <c r="AE44" s="1027">
        <f>IFERROR(__xludf.DUMMYFUNCTION("""COMPUTED_VALUE"""),19.0)</f>
        <v>19</v>
      </c>
      <c r="AF44" s="213">
        <f t="shared" si="6"/>
        <v>0</v>
      </c>
      <c r="AG44" s="1028">
        <f>IFERROR(__xludf.DUMMYFUNCTION("""COMPUTED_VALUE"""),116.68333333333334)</f>
        <v>116.6833333</v>
      </c>
      <c r="AH44" s="213">
        <f>IFERROR(__xludf.DUMMYFUNCTION("""COMPUTED_VALUE"""),172.0)</f>
        <v>172</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8"/>
      <c r="C45" s="1018"/>
      <c r="D45" s="1018"/>
      <c r="E45" s="1018"/>
      <c r="F45" s="1019">
        <f t="shared" si="2"/>
        <v>0</v>
      </c>
      <c r="G45" s="1020" t="str">
        <f t="shared" si="3"/>
        <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0</v>
      </c>
      <c r="J45" s="1022">
        <f t="shared" si="56"/>
        <v>0</v>
      </c>
      <c r="K45" s="185"/>
      <c r="L45" s="213" t="str">
        <f t="array" ref="L45">IFERROR(INDEX('💻シート作成'!$D$6:$D999, MATCH(M45, '💻シート作成'!$E$6:$E999, 0)), "")</f>
        <v>4月</v>
      </c>
      <c r="M45" s="913"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IFERROR(__xludf.DUMMYFUNCTION("""COMPUTED_VALUE"""),2252.0)</f>
        <v>2252</v>
      </c>
      <c r="AB45" s="1046" t="str">
        <f>IFERROR(__xludf.DUMMYFUNCTION("""COMPUTED_VALUE"""),"東")</f>
        <v>東</v>
      </c>
      <c r="AC45" s="213" t="str">
        <f>IFERROR(__xludf.DUMMYFUNCTION("""COMPUTED_VALUE"""),"チェッカー")</f>
        <v>チェッカー</v>
      </c>
      <c r="AD45" s="213" t="str">
        <f>IFERROR(__xludf.DUMMYFUNCTION("""COMPUTED_VALUE"""),"時給")</f>
        <v>時給</v>
      </c>
      <c r="AE45" s="1027">
        <f>IFERROR(__xludf.DUMMYFUNCTION("""COMPUTED_VALUE"""),2.0)</f>
        <v>2</v>
      </c>
      <c r="AF45" s="213">
        <f t="shared" si="6"/>
        <v>3</v>
      </c>
      <c r="AG45" s="1028">
        <f>IFERROR(__xludf.DUMMYFUNCTION("""COMPUTED_VALUE"""),12.5)</f>
        <v>12.5</v>
      </c>
      <c r="AH45" s="213">
        <f>IFERROR(__xludf.DUMMYFUNCTION("""COMPUTED_VALUE"""),0.0)</f>
        <v>0</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8"/>
      <c r="C46" s="1018"/>
      <c r="D46" s="1018"/>
      <c r="E46" s="1018"/>
      <c r="F46" s="1019">
        <f t="shared" si="2"/>
        <v>0</v>
      </c>
      <c r="G46" s="1020" t="str">
        <f t="shared" si="3"/>
        <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1">
        <f t="shared" si="57"/>
        <v>0</v>
      </c>
      <c r="J46" s="1022">
        <f t="shared" si="57"/>
        <v>0</v>
      </c>
      <c r="K46" s="185"/>
      <c r="L46" s="213" t="str">
        <f t="array" ref="L46">IFERROR(INDEX('💻シート作成'!$D$6:$D999, MATCH(M46, '💻シート作成'!$E$6:$E999, 0)), "")</f>
        <v>4月</v>
      </c>
      <c r="M46" s="913"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IFERROR(__xludf.DUMMYFUNCTION("""COMPUTED_VALUE"""),2255.0)</f>
        <v>2255</v>
      </c>
      <c r="AB46" s="1046" t="str">
        <f>IFERROR(__xludf.DUMMYFUNCTION("""COMPUTED_VALUE"""),"プン")</f>
        <v>プン</v>
      </c>
      <c r="AC46" s="213" t="str">
        <f>IFERROR(__xludf.DUMMYFUNCTION("""COMPUTED_VALUE"""),"メイド")</f>
        <v>メイド</v>
      </c>
      <c r="AD46" s="213" t="str">
        <f>IFERROR(__xludf.DUMMYFUNCTION("""COMPUTED_VALUE"""),"歩合")</f>
        <v>歩合</v>
      </c>
      <c r="AE46" s="1027">
        <f>IFERROR(__xludf.DUMMYFUNCTION("""COMPUTED_VALUE"""),19.0)</f>
        <v>19</v>
      </c>
      <c r="AF46" s="213">
        <f t="shared" si="6"/>
        <v>0</v>
      </c>
      <c r="AG46" s="1028">
        <f>IFERROR(__xludf.DUMMYFUNCTION("""COMPUTED_VALUE"""),120.7)</f>
        <v>120.7</v>
      </c>
      <c r="AH46" s="213">
        <f>IFERROR(__xludf.DUMMYFUNCTION("""COMPUTED_VALUE"""),144.0)</f>
        <v>144</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8"/>
      <c r="C47" s="1018"/>
      <c r="D47" s="1018"/>
      <c r="E47" s="1018"/>
      <c r="F47" s="1019">
        <f t="shared" si="2"/>
        <v>0</v>
      </c>
      <c r="G47" s="1020" t="str">
        <f t="shared" si="3"/>
        <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0</v>
      </c>
      <c r="J47" s="1022">
        <f t="shared" si="58"/>
        <v>0</v>
      </c>
      <c r="K47" s="185"/>
      <c r="L47" s="213" t="str">
        <f t="array" ref="L47">IFERROR(INDEX('💻シート作成'!$D$6:$D999, MATCH(M47, '💻シート作成'!$E$6:$E999, 0)), "")</f>
        <v>3月</v>
      </c>
      <c r="M47" s="913"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IFERROR(__xludf.DUMMYFUNCTION("""COMPUTED_VALUE"""),2282.0)</f>
        <v>2282</v>
      </c>
      <c r="AB47" s="1046" t="str">
        <f>IFERROR(__xludf.DUMMYFUNCTION("""COMPUTED_VALUE"""),"ジャムナ")</f>
        <v>ジャムナ</v>
      </c>
      <c r="AC47" s="213" t="str">
        <f>IFERROR(__xludf.DUMMYFUNCTION("""COMPUTED_VALUE"""),"メイド")</f>
        <v>メイド</v>
      </c>
      <c r="AD47" s="213" t="str">
        <f>IFERROR(__xludf.DUMMYFUNCTION("""COMPUTED_VALUE"""),"歩合")</f>
        <v>歩合</v>
      </c>
      <c r="AE47" s="1027">
        <f>IFERROR(__xludf.DUMMYFUNCTION("""COMPUTED_VALUE"""),13.0)</f>
        <v>13</v>
      </c>
      <c r="AF47" s="213">
        <f t="shared" si="6"/>
        <v>0</v>
      </c>
      <c r="AG47" s="1028">
        <f>IFERROR(__xludf.DUMMYFUNCTION("""COMPUTED_VALUE"""),71.95)</f>
        <v>71.95</v>
      </c>
      <c r="AH47" s="213">
        <f>IFERROR(__xludf.DUMMYFUNCTION("""COMPUTED_VALUE"""),98.0)</f>
        <v>98</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8"/>
      <c r="C48" s="1018"/>
      <c r="D48" s="1018"/>
      <c r="E48" s="1018"/>
      <c r="F48" s="1019">
        <f t="shared" si="2"/>
        <v>0</v>
      </c>
      <c r="G48" s="1020" t="str">
        <f t="shared" si="3"/>
        <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0</v>
      </c>
      <c r="J48" s="1022">
        <f t="shared" si="59"/>
        <v>0</v>
      </c>
      <c r="K48" s="185"/>
      <c r="L48" s="213" t="str">
        <f t="array" ref="L48">IFERROR(INDEX('💻シート作成'!$D$6:$D999, MATCH(M48, '💻シート作成'!$E$6:$E999, 0)), "")</f>
        <v>3月</v>
      </c>
      <c r="M48" s="913"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IFERROR(__xludf.DUMMYFUNCTION("""COMPUTED_VALUE"""),2283.0)</f>
        <v>2283</v>
      </c>
      <c r="AB48" s="1046" t="str">
        <f>IFERROR(__xludf.DUMMYFUNCTION("""COMPUTED_VALUE"""),"グルンガ")</f>
        <v>グルンガ</v>
      </c>
      <c r="AC48" s="213" t="str">
        <f>IFERROR(__xludf.DUMMYFUNCTION("""COMPUTED_VALUE"""),"メイド")</f>
        <v>メイド</v>
      </c>
      <c r="AD48" s="213" t="str">
        <f>IFERROR(__xludf.DUMMYFUNCTION("""COMPUTED_VALUE"""),"歩合")</f>
        <v>歩合</v>
      </c>
      <c r="AE48" s="1027">
        <f>IFERROR(__xludf.DUMMYFUNCTION("""COMPUTED_VALUE"""),12.0)</f>
        <v>12</v>
      </c>
      <c r="AF48" s="213">
        <f t="shared" si="6"/>
        <v>0</v>
      </c>
      <c r="AG48" s="1028">
        <f>IFERROR(__xludf.DUMMYFUNCTION("""COMPUTED_VALUE"""),75.21666666666667)</f>
        <v>75.21666667</v>
      </c>
      <c r="AH48" s="213">
        <f>IFERROR(__xludf.DUMMYFUNCTION("""COMPUTED_VALUE"""),82.0)</f>
        <v>82</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8"/>
      <c r="C49" s="1018"/>
      <c r="D49" s="1018"/>
      <c r="E49" s="1018"/>
      <c r="F49" s="1019">
        <f t="shared" si="2"/>
        <v>0</v>
      </c>
      <c r="G49" s="1020" t="str">
        <f t="shared" si="3"/>
        <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0</v>
      </c>
      <c r="J49" s="1022">
        <f t="shared" si="60"/>
        <v>0</v>
      </c>
      <c r="K49" s="185"/>
      <c r="L49" s="213" t="str">
        <f t="array" ref="L49">IFERROR(INDEX('💻シート作成'!$D$6:$D999, MATCH(M49, '💻シート作成'!$E$6:$E999, 0)), "")</f>
        <v>3月</v>
      </c>
      <c r="M49" s="913"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IFERROR(__xludf.DUMMYFUNCTION("""COMPUTED_VALUE"""),2286.0)</f>
        <v>2286</v>
      </c>
      <c r="AB49" s="1046" t="str">
        <f>IFERROR(__xludf.DUMMYFUNCTION("""COMPUTED_VALUE"""),"スレスタ")</f>
        <v>スレスタ</v>
      </c>
      <c r="AC49" s="213" t="str">
        <f>IFERROR(__xludf.DUMMYFUNCTION("""COMPUTED_VALUE"""),"メイド")</f>
        <v>メイド</v>
      </c>
      <c r="AD49" s="213" t="str">
        <f>IFERROR(__xludf.DUMMYFUNCTION("""COMPUTED_VALUE"""),"歩合")</f>
        <v>歩合</v>
      </c>
      <c r="AE49" s="1027">
        <f>IFERROR(__xludf.DUMMYFUNCTION("""COMPUTED_VALUE"""),18.0)</f>
        <v>18</v>
      </c>
      <c r="AF49" s="213">
        <f t="shared" si="6"/>
        <v>0</v>
      </c>
      <c r="AG49" s="1028">
        <f>IFERROR(__xludf.DUMMYFUNCTION("""COMPUTED_VALUE"""),104.23333333333333)</f>
        <v>104.2333333</v>
      </c>
      <c r="AH49" s="213">
        <f>IFERROR(__xludf.DUMMYFUNCTION("""COMPUTED_VALUE"""),135.0)</f>
        <v>135</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8"/>
      <c r="C50" s="1018"/>
      <c r="D50" s="1018"/>
      <c r="E50" s="1018"/>
      <c r="F50" s="1019">
        <f t="shared" si="2"/>
        <v>0</v>
      </c>
      <c r="G50" s="1020" t="str">
        <f t="shared" si="3"/>
        <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0</v>
      </c>
      <c r="J50" s="1022">
        <f t="shared" si="61"/>
        <v>0</v>
      </c>
      <c r="K50" s="185"/>
      <c r="L50" s="213" t="str">
        <f t="array" ref="L50">IFERROR(INDEX('💻シート作成'!$D$6:$D999, MATCH(M50, '💻シート作成'!$E$6:$E999, 0)), "")</f>
        <v>3月</v>
      </c>
      <c r="M50" s="913"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IFERROR(__xludf.DUMMYFUNCTION("""COMPUTED_VALUE"""),2289.0)</f>
        <v>2289</v>
      </c>
      <c r="AB50" s="1046" t="str">
        <f>IFERROR(__xludf.DUMMYFUNCTION("""COMPUTED_VALUE"""),"アルジュン")</f>
        <v>アルジュン</v>
      </c>
      <c r="AC50" s="213" t="str">
        <f>IFERROR(__xludf.DUMMYFUNCTION("""COMPUTED_VALUE"""),"メイド")</f>
        <v>メイド</v>
      </c>
      <c r="AD50" s="213" t="str">
        <f>IFERROR(__xludf.DUMMYFUNCTION("""COMPUTED_VALUE"""),"歩合")</f>
        <v>歩合</v>
      </c>
      <c r="AE50" s="1027">
        <f>IFERROR(__xludf.DUMMYFUNCTION("""COMPUTED_VALUE"""),10.0)</f>
        <v>10</v>
      </c>
      <c r="AF50" s="213">
        <f t="shared" si="6"/>
        <v>1</v>
      </c>
      <c r="AG50" s="1028">
        <f>IFERROR(__xludf.DUMMYFUNCTION("""COMPUTED_VALUE"""),64.08333333333333)</f>
        <v>64.08333333</v>
      </c>
      <c r="AH50" s="213">
        <f>IFERROR(__xludf.DUMMYFUNCTION("""COMPUTED_VALUE"""),64.0)</f>
        <v>64</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8"/>
      <c r="C51" s="1018"/>
      <c r="D51" s="1018"/>
      <c r="E51" s="1018"/>
      <c r="F51" s="1019">
        <f t="shared" si="2"/>
        <v>0</v>
      </c>
      <c r="G51" s="1020" t="str">
        <f t="shared" si="3"/>
        <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1">
        <f t="shared" si="62"/>
        <v>0</v>
      </c>
      <c r="J51" s="1022">
        <f t="shared" si="62"/>
        <v>0</v>
      </c>
      <c r="K51" s="185"/>
      <c r="L51" s="213" t="str">
        <f t="array" ref="L51">IFERROR(INDEX('💻シート作成'!$D$6:$D999, MATCH(M51, '💻シート作成'!$E$6:$E999, 0)), "")</f>
        <v>2月</v>
      </c>
      <c r="M51" s="913"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IFERROR(__xludf.DUMMYFUNCTION("""COMPUTED_VALUE"""),2315.0)</f>
        <v>2315</v>
      </c>
      <c r="AB51" s="1046" t="str">
        <f>IFERROR(__xludf.DUMMYFUNCTION("""COMPUTED_VALUE"""),"バンダナ")</f>
        <v>バンダナ</v>
      </c>
      <c r="AC51" s="213" t="str">
        <f>IFERROR(__xludf.DUMMYFUNCTION("""COMPUTED_VALUE"""),"チェッカー")</f>
        <v>チェッカー</v>
      </c>
      <c r="AD51" s="213" t="str">
        <f>IFERROR(__xludf.DUMMYFUNCTION("""COMPUTED_VALUE"""),"歩+時")</f>
        <v>歩+時</v>
      </c>
      <c r="AE51" s="1027">
        <f>IFERROR(__xludf.DUMMYFUNCTION("""COMPUTED_VALUE"""),24.0)</f>
        <v>24</v>
      </c>
      <c r="AF51" s="213">
        <f t="shared" si="6"/>
        <v>0</v>
      </c>
      <c r="AG51" s="1028">
        <f>IFERROR(__xludf.DUMMYFUNCTION("""COMPUTED_VALUE"""),157.9)</f>
        <v>157.9</v>
      </c>
      <c r="AH51" s="213">
        <f>IFERROR(__xludf.DUMMYFUNCTION("""COMPUTED_VALUE"""),9.0)</f>
        <v>9</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8"/>
      <c r="C52" s="1018"/>
      <c r="D52" s="1018"/>
      <c r="E52" s="1018"/>
      <c r="F52" s="1019">
        <f t="shared" si="2"/>
        <v>0</v>
      </c>
      <c r="G52" s="1020" t="str">
        <f t="shared" si="3"/>
        <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0</v>
      </c>
      <c r="J52" s="1022">
        <f t="shared" si="63"/>
        <v>0</v>
      </c>
      <c r="K52" s="185"/>
      <c r="L52" s="213" t="str">
        <f t="array" ref="L52">IFERROR(INDEX('💻シート作成'!$D$6:$D999, MATCH(M52, '💻シート作成'!$E$6:$E999, 0)), "")</f>
        <v>2月</v>
      </c>
      <c r="M52" s="913"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IFERROR(__xludf.DUMMYFUNCTION("""COMPUTED_VALUE"""),2330.0)</f>
        <v>2330</v>
      </c>
      <c r="AB52" s="1046" t="str">
        <f>IFERROR(__xludf.DUMMYFUNCTION("""COMPUTED_VALUE"""),"ギリ")</f>
        <v>ギリ</v>
      </c>
      <c r="AC52" s="213" t="str">
        <f>IFERROR(__xludf.DUMMYFUNCTION("""COMPUTED_VALUE"""),"メイド")</f>
        <v>メイド</v>
      </c>
      <c r="AD52" s="213" t="str">
        <f>IFERROR(__xludf.DUMMYFUNCTION("""COMPUTED_VALUE"""),"歩合")</f>
        <v>歩合</v>
      </c>
      <c r="AE52" s="1027">
        <f>IFERROR(__xludf.DUMMYFUNCTION("""COMPUTED_VALUE"""),26.0)</f>
        <v>26</v>
      </c>
      <c r="AF52" s="213">
        <f t="shared" si="6"/>
        <v>0</v>
      </c>
      <c r="AG52" s="1028">
        <f>IFERROR(__xludf.DUMMYFUNCTION("""COMPUTED_VALUE"""),165.71666666666667)</f>
        <v>165.7166667</v>
      </c>
      <c r="AH52" s="213">
        <f>IFERROR(__xludf.DUMMYFUNCTION("""COMPUTED_VALUE"""),162.0)</f>
        <v>162</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8"/>
      <c r="C53" s="1018"/>
      <c r="D53" s="1018"/>
      <c r="E53" s="1018"/>
      <c r="F53" s="1019">
        <f t="shared" si="2"/>
        <v>0</v>
      </c>
      <c r="G53" s="1020" t="str">
        <f t="shared" si="3"/>
        <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1">
        <f t="shared" si="64"/>
        <v>0</v>
      </c>
      <c r="J53" s="1022">
        <f t="shared" si="64"/>
        <v>0</v>
      </c>
      <c r="K53" s="185"/>
      <c r="L53" s="213" t="str">
        <f t="array" ref="L53">IFERROR(INDEX('💻シート作成'!$D$6:$D999, MATCH(M53, '💻シート作成'!$E$6:$E999, 0)), "")</f>
        <v>2月</v>
      </c>
      <c r="M53" s="913"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IFERROR(__xludf.DUMMYFUNCTION("""COMPUTED_VALUE"""),2331.0)</f>
        <v>2331</v>
      </c>
      <c r="AB53" s="1046" t="str">
        <f>IFERROR(__xludf.DUMMYFUNCTION("""COMPUTED_VALUE"""),"ニュウレ")</f>
        <v>ニュウレ</v>
      </c>
      <c r="AC53" s="213" t="str">
        <f>IFERROR(__xludf.DUMMYFUNCTION("""COMPUTED_VALUE"""),"メイド")</f>
        <v>メイド</v>
      </c>
      <c r="AD53" s="213" t="str">
        <f>IFERROR(__xludf.DUMMYFUNCTION("""COMPUTED_VALUE"""),"歩合")</f>
        <v>歩合</v>
      </c>
      <c r="AE53" s="1027">
        <f>IFERROR(__xludf.DUMMYFUNCTION("""COMPUTED_VALUE"""),27.0)</f>
        <v>27</v>
      </c>
      <c r="AF53" s="213">
        <f t="shared" si="6"/>
        <v>0</v>
      </c>
      <c r="AG53" s="1028">
        <f>IFERROR(__xludf.DUMMYFUNCTION("""COMPUTED_VALUE"""),189.41666666666666)</f>
        <v>189.4166667</v>
      </c>
      <c r="AH53" s="213">
        <f>IFERROR(__xludf.DUMMYFUNCTION("""COMPUTED_VALUE"""),211.0)</f>
        <v>211</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8"/>
      <c r="C54" s="1018"/>
      <c r="D54" s="1018"/>
      <c r="E54" s="1018"/>
      <c r="F54" s="1019">
        <f t="shared" si="2"/>
        <v>0</v>
      </c>
      <c r="G54" s="1020" t="str">
        <f t="shared" si="3"/>
        <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0</v>
      </c>
      <c r="J54" s="1022">
        <f t="shared" si="65"/>
        <v>0</v>
      </c>
      <c r="K54" s="185"/>
      <c r="L54" s="213" t="str">
        <f t="array" ref="L54">IFERROR(INDEX('💻シート作成'!$D$6:$D999, MATCH(M54, '💻シート作成'!$E$6:$E999, 0)), "")</f>
        <v>2月</v>
      </c>
      <c r="M54" s="913"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IFERROR(__xludf.DUMMYFUNCTION("""COMPUTED_VALUE"""),2358.0)</f>
        <v>2358</v>
      </c>
      <c r="AB54" s="1046" t="str">
        <f>IFERROR(__xludf.DUMMYFUNCTION("""COMPUTED_VALUE"""),"ソティ")</f>
        <v>ソティ</v>
      </c>
      <c r="AC54" s="213" t="str">
        <f>IFERROR(__xludf.DUMMYFUNCTION("""COMPUTED_VALUE"""),"チェッカー")</f>
        <v>チェッカー</v>
      </c>
      <c r="AD54" s="213" t="str">
        <f>IFERROR(__xludf.DUMMYFUNCTION("""COMPUTED_VALUE"""),"時給")</f>
        <v>時給</v>
      </c>
      <c r="AE54" s="1027">
        <f>IFERROR(__xludf.DUMMYFUNCTION("""COMPUTED_VALUE"""),11.0)</f>
        <v>11</v>
      </c>
      <c r="AF54" s="213">
        <f t="shared" si="6"/>
        <v>2</v>
      </c>
      <c r="AG54" s="1028">
        <f>IFERROR(__xludf.DUMMYFUNCTION("""COMPUTED_VALUE"""),71.75)</f>
        <v>71.75</v>
      </c>
      <c r="AH54" s="213">
        <f>IFERROR(__xludf.DUMMYFUNCTION("""COMPUTED_VALUE"""),0.0)</f>
        <v>0</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8"/>
      <c r="C55" s="1018"/>
      <c r="D55" s="1018"/>
      <c r="E55" s="1018"/>
      <c r="F55" s="1019">
        <f t="shared" si="2"/>
        <v>0</v>
      </c>
      <c r="G55" s="1020" t="str">
        <f t="shared" si="3"/>
        <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1">
        <f t="shared" si="66"/>
        <v>0</v>
      </c>
      <c r="J55" s="1022">
        <f t="shared" si="66"/>
        <v>0</v>
      </c>
      <c r="K55" s="185"/>
      <c r="L55" s="213" t="str">
        <f t="array" ref="L55">IFERROR(INDEX('💻シート作成'!$D$6:$D999, MATCH(M55, '💻シート作成'!$E$6:$E999, 0)), "")</f>
        <v/>
      </c>
      <c r="M55" s="913"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27">
        <f>IFERROR(__xludf.DUMMYFUNCTION("""COMPUTED_VALUE"""),6.0)</f>
        <v>6</v>
      </c>
      <c r="AF55" s="213">
        <f t="shared" si="6"/>
        <v>1</v>
      </c>
      <c r="AG55" s="1028">
        <f>IFERROR(__xludf.DUMMYFUNCTION("""COMPUTED_VALUE"""),37.5)</f>
        <v>37.5</v>
      </c>
      <c r="AH55" s="213">
        <f>IFERROR(__xludf.DUMMYFUNCTION("""COMPUTED_VALUE"""),0.0)</f>
        <v>0</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8"/>
      <c r="C56" s="1018"/>
      <c r="D56" s="1018"/>
      <c r="E56" s="1018"/>
      <c r="F56" s="1019">
        <f t="shared" si="2"/>
        <v>0</v>
      </c>
      <c r="G56" s="1020" t="str">
        <f t="shared" si="3"/>
        <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1">
        <f t="shared" si="67"/>
        <v>0</v>
      </c>
      <c r="J56" s="1022">
        <f t="shared" si="67"/>
        <v>0</v>
      </c>
      <c r="K56" s="185"/>
      <c r="L56" s="213" t="str">
        <f t="array" ref="L56">IFERROR(INDEX('💻シート作成'!$D$6:$D999, MATCH(M56, '💻シート作成'!$E$6:$E999, 0)), "")</f>
        <v/>
      </c>
      <c r="M56" s="913"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27">
        <f>IFERROR(__xludf.DUMMYFUNCTION("""COMPUTED_VALUE"""),7.0)</f>
        <v>7</v>
      </c>
      <c r="AF56" s="213">
        <f t="shared" si="6"/>
        <v>0</v>
      </c>
      <c r="AG56" s="1028">
        <f>IFERROR(__xludf.DUMMYFUNCTION("""COMPUTED_VALUE"""),44.5)</f>
        <v>44.5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8"/>
      <c r="C57" s="1018"/>
      <c r="D57" s="1018"/>
      <c r="E57" s="1018"/>
      <c r="F57" s="1019">
        <f t="shared" si="2"/>
        <v>0</v>
      </c>
      <c r="G57" s="1020" t="str">
        <f t="shared" si="3"/>
        <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0</v>
      </c>
      <c r="J57" s="1022">
        <f t="shared" si="68"/>
        <v>0</v>
      </c>
      <c r="K57" s="185"/>
      <c r="L57" s="213" t="str">
        <f t="array" ref="L57">IFERROR(INDEX('💻シート作成'!$D$6:$D999, MATCH(M57, '💻シート作成'!$E$6:$E999, 0)), "")</f>
        <v/>
      </c>
      <c r="M57" s="913"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8"/>
      <c r="C58" s="1018"/>
      <c r="D58" s="1018"/>
      <c r="E58" s="1018"/>
      <c r="F58" s="1019">
        <f t="shared" si="2"/>
        <v>0</v>
      </c>
      <c r="G58" s="1020" t="str">
        <f t="shared" si="3"/>
        <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0</v>
      </c>
      <c r="J58" s="1022">
        <f t="shared" si="69"/>
        <v>0</v>
      </c>
      <c r="K58" s="185"/>
      <c r="L58" s="213" t="str">
        <f t="array" ref="L58">IFERROR(INDEX('💻シート作成'!$D$6:$D999, MATCH(M58, '💻シート作成'!$E$6:$E999, 0)), "")</f>
        <v/>
      </c>
      <c r="M58" s="913"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27">
        <f>IFERROR(__xludf.DUMMYFUNCTION("""COMPUTED_VALUE"""),3.0)</f>
        <v>3</v>
      </c>
      <c r="AF58" s="213">
        <f t="shared" si="6"/>
        <v>1</v>
      </c>
      <c r="AG58" s="1028">
        <f>IFERROR(__xludf.DUMMYFUNCTION("""COMPUTED_VALUE"""),19.0)</f>
        <v>19</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8"/>
      <c r="C59" s="1018"/>
      <c r="D59" s="1018"/>
      <c r="E59" s="1018"/>
      <c r="F59" s="1019">
        <f t="shared" si="2"/>
        <v>0</v>
      </c>
      <c r="G59" s="1020" t="str">
        <f t="shared" si="3"/>
        <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1">
        <f t="shared" si="70"/>
        <v>0</v>
      </c>
      <c r="J59" s="1022">
        <f t="shared" si="70"/>
        <v>0</v>
      </c>
      <c r="K59" s="185"/>
      <c r="L59" s="213" t="str">
        <f t="array" ref="L59">IFERROR(INDEX('💻シート作成'!$D$6:$D999, MATCH(M59, '💻シート作成'!$E$6:$E999, 0)), "")</f>
        <v/>
      </c>
      <c r="M59" s="913"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27">
        <f>IFERROR(__xludf.DUMMYFUNCTION("""COMPUTED_VALUE"""),17.0)</f>
        <v>17</v>
      </c>
      <c r="AF59" s="213">
        <f t="shared" si="6"/>
        <v>0</v>
      </c>
      <c r="AG59" s="1028">
        <f>IFERROR(__xludf.DUMMYFUNCTION("""COMPUTED_VALUE"""),109.63333333333334)</f>
        <v>109.6333333</v>
      </c>
      <c r="AH59" s="213">
        <f>IFERROR(__xludf.DUMMYFUNCTION("""COMPUTED_VALUE"""),32.0)</f>
        <v>32</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8"/>
      <c r="C60" s="1018"/>
      <c r="D60" s="1018"/>
      <c r="E60" s="1018"/>
      <c r="F60" s="1019">
        <f t="shared" si="2"/>
        <v>0</v>
      </c>
      <c r="G60" s="1020" t="str">
        <f t="shared" si="3"/>
        <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0</v>
      </c>
      <c r="J60" s="1022">
        <f t="shared" si="71"/>
        <v>0</v>
      </c>
      <c r="K60" s="185"/>
      <c r="L60" s="213" t="str">
        <f t="array" ref="L60">IFERROR(INDEX('💻シート作成'!$D$6:$D999, MATCH(M60, '💻シート作成'!$E$6:$E999, 0)), "")</f>
        <v/>
      </c>
      <c r="M60" s="913"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27">
        <f>IFERROR(__xludf.DUMMYFUNCTION("""COMPUTED_VALUE"""),11.0)</f>
        <v>11</v>
      </c>
      <c r="AF60" s="213">
        <f t="shared" si="6"/>
        <v>0</v>
      </c>
      <c r="AG60" s="1028">
        <f>IFERROR(__xludf.DUMMYFUNCTION("""COMPUTED_VALUE"""),66.0)</f>
        <v>66</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8"/>
      <c r="C61" s="1018"/>
      <c r="D61" s="1018"/>
      <c r="E61" s="1018"/>
      <c r="F61" s="1019">
        <f t="shared" si="2"/>
        <v>0</v>
      </c>
      <c r="G61" s="1020" t="str">
        <f t="shared" si="3"/>
        <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0</v>
      </c>
      <c r="J61" s="1022">
        <f t="shared" si="72"/>
        <v>0</v>
      </c>
      <c r="K61" s="185"/>
      <c r="L61" s="213" t="str">
        <f t="array" ref="L61">IFERROR(INDEX('💻シート作成'!$D$6:$D999, MATCH(M61, '💻シート作成'!$E$6:$E999, 0)), "")</f>
        <v/>
      </c>
      <c r="M61" s="913"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27">
        <f>IFERROR(__xludf.DUMMYFUNCTION("""COMPUTED_VALUE"""),10.0)</f>
        <v>10</v>
      </c>
      <c r="AF61" s="213">
        <f t="shared" si="6"/>
        <v>0</v>
      </c>
      <c r="AG61" s="1028">
        <f>IFERROR(__xludf.DUMMYFUNCTION("""COMPUTED_VALUE"""),61.5)</f>
        <v>61.5</v>
      </c>
      <c r="AH61" s="213">
        <f>IFERROR(__xludf.DUMMYFUNCTION("""COMPUTED_VALUE"""),0.0)</f>
        <v>0</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8"/>
      <c r="C62" s="1018"/>
      <c r="D62" s="1018"/>
      <c r="E62" s="1018"/>
      <c r="F62" s="1019">
        <f t="shared" si="2"/>
        <v>0</v>
      </c>
      <c r="G62" s="1020" t="str">
        <f t="shared" si="3"/>
        <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0</v>
      </c>
      <c r="J62" s="1022">
        <f t="shared" si="73"/>
        <v>0</v>
      </c>
      <c r="K62" s="185"/>
      <c r="L62" s="213" t="str">
        <f t="array" ref="L62">IFERROR(INDEX('💻シート作成'!$D$6:$D999, MATCH(M62, '💻シート作成'!$E$6:$E999, 0)), "")</f>
        <v/>
      </c>
      <c r="M62" s="913"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27">
        <f>IFERROR(__xludf.DUMMYFUNCTION("""COMPUTED_VALUE"""),5.0)</f>
        <v>5</v>
      </c>
      <c r="AF62" s="213">
        <f t="shared" si="6"/>
        <v>0</v>
      </c>
      <c r="AG62" s="1028">
        <f>IFERROR(__xludf.DUMMYFUNCTION("""COMPUTED_VALUE"""),30.25)</f>
        <v>30.25</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8"/>
      <c r="C63" s="1018"/>
      <c r="D63" s="1018"/>
      <c r="E63" s="1018"/>
      <c r="F63" s="1019">
        <f t="shared" si="2"/>
        <v>0</v>
      </c>
      <c r="G63" s="1020" t="str">
        <f t="shared" si="3"/>
        <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0</v>
      </c>
      <c r="J63" s="1022">
        <f t="shared" si="74"/>
        <v>0</v>
      </c>
      <c r="K63" s="185"/>
      <c r="L63" s="213" t="str">
        <f t="array" ref="L63">IFERROR(INDEX('💻シート作成'!$D$6:$D999, MATCH(M63, '💻シート作成'!$E$6:$E999, 0)), "")</f>
        <v/>
      </c>
      <c r="M63" s="913"/>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27">
        <f>IFERROR(__xludf.DUMMYFUNCTION("""COMPUTED_VALUE"""),11.0)</f>
        <v>11</v>
      </c>
      <c r="AF63" s="213">
        <f t="shared" si="6"/>
        <v>0</v>
      </c>
      <c r="AG63" s="1028">
        <f>IFERROR(__xludf.DUMMYFUNCTION("""COMPUTED_VALUE"""),64.18333333333334)</f>
        <v>64.18333333</v>
      </c>
      <c r="AH63" s="213">
        <f>IFERROR(__xludf.DUMMYFUNCTION("""COMPUTED_VALUE"""),0.0)</f>
        <v>0</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8"/>
      <c r="C64" s="1018"/>
      <c r="D64" s="1018"/>
      <c r="E64" s="1018"/>
      <c r="F64" s="1019">
        <f t="shared" si="2"/>
        <v>0</v>
      </c>
      <c r="G64" s="1020" t="str">
        <f t="shared" si="3"/>
        <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0</v>
      </c>
      <c r="J64" s="1022">
        <f t="shared" si="75"/>
        <v>0</v>
      </c>
      <c r="K64" s="185"/>
      <c r="L64" s="213" t="str">
        <f t="array" ref="L64">IFERROR(INDEX('💻シート作成'!$D$6:$D999, MATCH(M64, '💻シート作成'!$E$6:$E999, 0)), "")</f>
        <v/>
      </c>
      <c r="M64" s="913"/>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27">
        <f>IFERROR(__xludf.DUMMYFUNCTION("""COMPUTED_VALUE"""),3.0)</f>
        <v>3</v>
      </c>
      <c r="AF64" s="213">
        <f t="shared" si="6"/>
        <v>0</v>
      </c>
      <c r="AG64" s="1028">
        <f>IFERROR(__xludf.DUMMYFUNCTION("""COMPUTED_VALUE"""),17.5)</f>
        <v>17.5</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8"/>
      <c r="C65" s="1018"/>
      <c r="D65" s="1018"/>
      <c r="E65" s="1018"/>
      <c r="F65" s="1019">
        <f t="shared" si="2"/>
        <v>0</v>
      </c>
      <c r="G65" s="1020" t="str">
        <f t="shared" si="3"/>
        <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3"/>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IFERROR(__xludf.DUMMYFUNCTION("""COMPUTED_VALUE"""),692.0)</f>
        <v>692</v>
      </c>
      <c r="AB65" s="1046" t="str">
        <f>IFERROR(__xludf.DUMMYFUNCTION("""COMPUTED_VALUE"""),"カラン")</f>
        <v>カラン</v>
      </c>
      <c r="AC65" s="213" t="str">
        <f>IFERROR(__xludf.DUMMYFUNCTION("""COMPUTED_VALUE"""),"チェッカー")</f>
        <v>チェッカー</v>
      </c>
      <c r="AD65" s="213" t="str">
        <f>IFERROR(__xludf.DUMMYFUNCTION("""COMPUTED_VALUE"""),"")</f>
        <v/>
      </c>
      <c r="AE65" s="1027">
        <f>IFERROR(__xludf.DUMMYFUNCTION("""COMPUTED_VALUE"""),0.0)</f>
        <v>0</v>
      </c>
      <c r="AF65" s="213">
        <f t="shared" si="6"/>
        <v>0</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8"/>
      <c r="C66" s="1018"/>
      <c r="D66" s="1018"/>
      <c r="E66" s="1018"/>
      <c r="F66" s="1019">
        <f t="shared" si="2"/>
        <v>0</v>
      </c>
      <c r="G66" s="1020" t="str">
        <f t="shared" si="3"/>
        <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3"/>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IFERROR(__xludf.DUMMYFUNCTION("""COMPUTED_VALUE"""),811.0)</f>
        <v>811</v>
      </c>
      <c r="AB66" s="1046" t="str">
        <f>IFERROR(__xludf.DUMMYFUNCTION("""COMPUTED_VALUE"""),"ラザニ")</f>
        <v>ラザニ</v>
      </c>
      <c r="AC66" s="213"/>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8"/>
      <c r="C67" s="1018"/>
      <c r="D67" s="1018"/>
      <c r="E67" s="1018"/>
      <c r="F67" s="1019">
        <f t="shared" si="2"/>
        <v>0</v>
      </c>
      <c r="G67" s="1020" t="str">
        <f t="shared" si="3"/>
        <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0</v>
      </c>
      <c r="J67" s="1022">
        <f t="shared" si="78"/>
        <v>0</v>
      </c>
      <c r="K67" s="185"/>
      <c r="L67" s="213" t="str">
        <f t="array" ref="L67">IFERROR(INDEX('💻シート作成'!$D$6:$D999, MATCH(M67, '💻シート作成'!$E$6:$E999, 0)), "")</f>
        <v/>
      </c>
      <c r="M67" s="913"/>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IFERROR(__xludf.DUMMYFUNCTION("""COMPUTED_VALUE"""),846.0)</f>
        <v>846</v>
      </c>
      <c r="AB67" s="1046" t="str">
        <f>IFERROR(__xludf.DUMMYFUNCTION("""COMPUTED_VALUE"""),"サムリディ")</f>
        <v>サムリディ</v>
      </c>
      <c r="AC67" s="213"/>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8"/>
      <c r="C68" s="1018"/>
      <c r="D68" s="1018"/>
      <c r="E68" s="1018"/>
      <c r="F68" s="1019">
        <f t="shared" si="2"/>
        <v>0</v>
      </c>
      <c r="G68" s="1020" t="str">
        <f t="shared" si="3"/>
        <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3"/>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IFERROR(__xludf.DUMMYFUNCTION("""COMPUTED_VALUE"""),932.0)</f>
        <v>932</v>
      </c>
      <c r="AB68" s="1046" t="str">
        <f>IFERROR(__xludf.DUMMYFUNCTION("""COMPUTED_VALUE"""),"ロシャーン")</f>
        <v>ロシャーン</v>
      </c>
      <c r="AC68" s="213" t="str">
        <f>IFERROR(__xludf.DUMMYFUNCTION("""COMPUTED_VALUE"""),"メイド")</f>
        <v>メイド</v>
      </c>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8"/>
      <c r="C69" s="1018"/>
      <c r="D69" s="1018"/>
      <c r="E69" s="1018"/>
      <c r="F69" s="1019">
        <f t="shared" si="2"/>
        <v>0</v>
      </c>
      <c r="G69" s="1020" t="str">
        <f t="shared" si="3"/>
        <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0</v>
      </c>
      <c r="J69" s="1022">
        <f t="shared" si="80"/>
        <v>0</v>
      </c>
      <c r="K69" s="185"/>
      <c r="L69" s="213" t="str">
        <f t="array" ref="L69">IFERROR(INDEX('💻シート作成'!$D$6:$D999, MATCH(M69, '💻シート作成'!$E$6:$E999, 0)), "")</f>
        <v/>
      </c>
      <c r="M69" s="913"/>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IFERROR(__xludf.DUMMYFUNCTION("""COMPUTED_VALUE"""),972.0)</f>
        <v>972</v>
      </c>
      <c r="AB69" s="1046" t="str">
        <f>IFERROR(__xludf.DUMMYFUNCTION("""COMPUTED_VALUE"""),"ディネス")</f>
        <v>ディネス</v>
      </c>
      <c r="AC69" s="213"/>
      <c r="AD69" s="213" t="str">
        <f>IFERROR(__xludf.DUMMYFUNCTION("""COMPUTED_VALUE"""),"")</f>
        <v/>
      </c>
      <c r="AE69" s="1027">
        <f>IFERROR(__xludf.DUMMYFUNCTION("""COMPUTED_VALUE"""),0.0)</f>
        <v>0</v>
      </c>
      <c r="AF69" s="213">
        <f t="shared" si="6"/>
        <v>0</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8"/>
      <c r="C70" s="1018"/>
      <c r="D70" s="1018"/>
      <c r="E70" s="1018"/>
      <c r="F70" s="1019">
        <f t="shared" si="2"/>
        <v>0</v>
      </c>
      <c r="G70" s="1020" t="str">
        <f t="shared" si="3"/>
        <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3"/>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IFERROR(__xludf.DUMMYFUNCTION("""COMPUTED_VALUE"""),993.0)</f>
        <v>993</v>
      </c>
      <c r="AB70" s="1046" t="str">
        <f>IFERROR(__xludf.DUMMYFUNCTION("""COMPUTED_VALUE"""),"ニルマラ")</f>
        <v>ニルマラ</v>
      </c>
      <c r="AC70" s="213" t="str">
        <f>IFERROR(__xludf.DUMMYFUNCTION("""COMPUTED_VALUE"""),"メイド")</f>
        <v>メイド</v>
      </c>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8"/>
      <c r="C71" s="1018"/>
      <c r="D71" s="1018"/>
      <c r="E71" s="1018"/>
      <c r="F71" s="1019">
        <f t="shared" si="2"/>
        <v>0</v>
      </c>
      <c r="G71" s="1020" t="str">
        <f t="shared" si="3"/>
        <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1">
        <f t="shared" si="82"/>
        <v>0</v>
      </c>
      <c r="J71" s="1022">
        <f t="shared" si="82"/>
        <v>0</v>
      </c>
      <c r="K71" s="185"/>
      <c r="L71" s="213" t="str">
        <f t="array" ref="L71">IFERROR(INDEX('💻シート作成'!$D$6:$D999, MATCH(M71, '💻シート作成'!$E$6:$E999, 0)), "")</f>
        <v/>
      </c>
      <c r="M71" s="913"/>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IFERROR(__xludf.DUMMYFUNCTION("""COMPUTED_VALUE"""),995.0)</f>
        <v>995</v>
      </c>
      <c r="AB71" s="1046" t="str">
        <f>IFERROR(__xludf.DUMMYFUNCTION("""COMPUTED_VALUE"""),"シタ")</f>
        <v>シタ</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8"/>
      <c r="C72" s="1018"/>
      <c r="D72" s="1018"/>
      <c r="E72" s="1018"/>
      <c r="F72" s="1019">
        <f t="shared" si="2"/>
        <v>0</v>
      </c>
      <c r="G72" s="1020" t="str">
        <f t="shared" si="3"/>
        <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3"/>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IFERROR(__xludf.DUMMYFUNCTION("""COMPUTED_VALUE"""),1435.0)</f>
        <v>1435</v>
      </c>
      <c r="AB72" s="1046" t="str">
        <f>IFERROR(__xludf.DUMMYFUNCTION("""COMPUTED_VALUE"""),"岩岡")</f>
        <v>岩岡</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8"/>
      <c r="C73" s="1018"/>
      <c r="D73" s="1018"/>
      <c r="E73" s="1018"/>
      <c r="F73" s="1019">
        <f t="shared" si="2"/>
        <v>0</v>
      </c>
      <c r="G73" s="1020" t="str">
        <f t="shared" si="3"/>
        <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0</v>
      </c>
      <c r="J73" s="1022">
        <f t="shared" si="84"/>
        <v>0</v>
      </c>
      <c r="K73" s="185"/>
      <c r="L73" s="213" t="str">
        <f t="array" ref="L73">IFERROR(INDEX('💻シート作成'!$D$6:$D999, MATCH(M73, '💻シート作成'!$E$6:$E999, 0)), "")</f>
        <v/>
      </c>
      <c r="M73" s="913"/>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IFERROR(__xludf.DUMMYFUNCTION("""COMPUTED_VALUE"""),1488.0)</f>
        <v>1488</v>
      </c>
      <c r="AB73" s="1046" t="str">
        <f>IFERROR(__xludf.DUMMYFUNCTION("""COMPUTED_VALUE"""),"カテル")</f>
        <v>カテル</v>
      </c>
      <c r="AC73" s="213" t="str">
        <f>IFERROR(__xludf.DUMMYFUNCTION("""COMPUTED_VALUE"""),"チェッカー")</f>
        <v>チェッカー</v>
      </c>
      <c r="AD73" s="213" t="str">
        <f>IFERROR(__xludf.DUMMYFUNCTION("""COMPUTED_VALUE"""),"")</f>
        <v/>
      </c>
      <c r="AE73" s="1027">
        <f>IFERROR(__xludf.DUMMYFUNCTION("""COMPUTED_VALUE"""),0.0)</f>
        <v>0</v>
      </c>
      <c r="AF73" s="213">
        <f t="shared" si="6"/>
        <v>1</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8"/>
      <c r="C74" s="1018"/>
      <c r="D74" s="1018"/>
      <c r="E74" s="1018"/>
      <c r="F74" s="1019">
        <f t="shared" si="2"/>
        <v>0</v>
      </c>
      <c r="G74" s="1020" t="str">
        <f t="shared" si="3"/>
        <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0</v>
      </c>
      <c r="J74" s="1022">
        <f t="shared" si="85"/>
        <v>0</v>
      </c>
      <c r="K74" s="185"/>
      <c r="L74" s="213" t="str">
        <f t="array" ref="L74">IFERROR(INDEX('💻シート作成'!$D$6:$D999, MATCH(M74, '💻シート作成'!$E$6:$E999, 0)), "")</f>
        <v/>
      </c>
      <c r="M74" s="913"/>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IFERROR(__xludf.DUMMYFUNCTION("""COMPUTED_VALUE"""),2049.0)</f>
        <v>2049</v>
      </c>
      <c r="AB74" s="1046" t="str">
        <f>IFERROR(__xludf.DUMMYFUNCTION("""COMPUTED_VALUE"""),"リタ")</f>
        <v>リタ</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8"/>
      <c r="C75" s="1018"/>
      <c r="D75" s="1018"/>
      <c r="E75" s="1018"/>
      <c r="F75" s="1019">
        <f t="shared" si="2"/>
        <v>0</v>
      </c>
      <c r="G75" s="1020" t="str">
        <f t="shared" si="3"/>
        <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0</v>
      </c>
      <c r="J75" s="1022">
        <f t="shared" si="86"/>
        <v>0</v>
      </c>
      <c r="K75" s="185"/>
      <c r="L75" s="213" t="str">
        <f t="array" ref="L75">IFERROR(INDEX('💻シート作成'!$D$6:$D999, MATCH(M75, '💻シート作成'!$E$6:$E999, 0)), "")</f>
        <v/>
      </c>
      <c r="M75" s="913"/>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IFERROR(__xludf.DUMMYFUNCTION("""COMPUTED_VALUE"""),2272.0)</f>
        <v>2272</v>
      </c>
      <c r="AB75" s="1046" t="str">
        <f>IFERROR(__xludf.DUMMYFUNCTION("""COMPUTED_VALUE"""),"ラズ")</f>
        <v>ラズ</v>
      </c>
      <c r="AC75" s="213"/>
      <c r="AD75" s="213" t="str">
        <f>IFERROR(__xludf.DUMMYFUNCTION("""COMPUTED_VALUE"""),"")</f>
        <v/>
      </c>
      <c r="AE75" s="1027">
        <f>IFERROR(__xludf.DUMMYFUNCTION("""COMPUTED_VALUE"""),0.0)</f>
        <v>0</v>
      </c>
      <c r="AF75" s="213">
        <f t="shared" si="6"/>
        <v>0</v>
      </c>
      <c r="AG75" s="1028">
        <f>IFERROR(__xludf.DUMMYFUNCTION("""COMPUTED_VALUE"""),0.0)</f>
        <v>0</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8"/>
      <c r="C76" s="1018"/>
      <c r="D76" s="1018"/>
      <c r="E76" s="1018"/>
      <c r="F76" s="1019">
        <f t="shared" si="2"/>
        <v>0</v>
      </c>
      <c r="G76" s="1020" t="str">
        <f t="shared" si="3"/>
        <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1">
        <f t="shared" si="87"/>
        <v>0</v>
      </c>
      <c r="J76" s="1022">
        <f t="shared" si="87"/>
        <v>0</v>
      </c>
      <c r="K76" s="185"/>
      <c r="L76" s="213" t="str">
        <f t="array" ref="L76">IFERROR(INDEX('💻シート作成'!$D$6:$D999, MATCH(M76, '💻シート作成'!$E$6:$E999, 0)), "")</f>
        <v/>
      </c>
      <c r="M76" s="913"/>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IFERROR(__xludf.DUMMYFUNCTION("""COMPUTED_VALUE"""),2341.0)</f>
        <v>2341</v>
      </c>
      <c r="AB76" s="1046" t="str">
        <f>IFERROR(__xludf.DUMMYFUNCTION("""COMPUTED_VALUE"""),"田口")</f>
        <v>田口</v>
      </c>
      <c r="AC76" s="213"/>
      <c r="AD76" s="213" t="str">
        <f>IFERROR(__xludf.DUMMYFUNCTION("""COMPUTED_VALUE"""),"")</f>
        <v/>
      </c>
      <c r="AE76" s="1027">
        <f>IFERROR(__xludf.DUMMYFUNCTION("""COMPUTED_VALUE"""),0.0)</f>
        <v>0</v>
      </c>
      <c r="AF76" s="213">
        <f t="shared" si="6"/>
        <v>0</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c r="D77" s="1018"/>
      <c r="E77" s="1018"/>
      <c r="F77" s="1019">
        <f t="shared" si="2"/>
        <v>0</v>
      </c>
      <c r="G77" s="1020" t="str">
        <f t="shared" si="3"/>
        <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3"/>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30">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27">
        <f>IFERROR(__xludf.DUMMYFUNCTION("""COMPUTED_VALUE"""),0.0)</f>
        <v>0</v>
      </c>
      <c r="AF77" s="213">
        <f t="shared" si="6"/>
        <v>1</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3"/>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3"/>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3"/>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3"/>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3"/>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3"/>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3"/>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3"/>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3"/>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3"/>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3"/>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3"/>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3"/>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3"/>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3"/>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IFERROR(__xludf.DUMMYFUNCTION("""COMPUTED_VALUE"""),5632.0)</f>
        <v>5632</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3"/>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3"/>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3"/>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3"/>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3"/>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3"/>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3"/>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8"/>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8"/>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8"/>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8"/>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8"/>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8"/>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8"/>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8"/>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8"/>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3"/>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8"/>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8"/>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8"/>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3"/>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8"/>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3"/>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8"/>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3"/>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8"/>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3"/>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8"/>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3"/>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8"/>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3"/>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8"/>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3"/>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8"/>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3"/>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8"/>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3"/>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8"/>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3"/>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8"/>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3"/>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8"/>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3"/>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8"/>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3"/>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8"/>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3"/>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8"/>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3"/>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8"/>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3"/>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8"/>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3"/>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8"/>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3"/>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8"/>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3"/>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8"/>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3"/>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8"/>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3"/>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8"/>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3"/>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8"/>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3"/>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8"/>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3"/>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8"/>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3"/>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8"/>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3"/>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8"/>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3"/>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8"/>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3"/>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8"/>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3"/>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8"/>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3"/>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8"/>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3"/>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8"/>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3"/>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8"/>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3"/>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8"/>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3"/>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8"/>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3"/>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8"/>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3"/>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8"/>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3"/>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8"/>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3"/>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8"/>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3"/>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8"/>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3"/>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8"/>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3"/>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8"/>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3"/>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8"/>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3"/>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8"/>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3"/>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8"/>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3"/>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8"/>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3"/>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8"/>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3"/>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8"/>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3"/>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8"/>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3"/>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8"/>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3"/>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8"/>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3"/>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8"/>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3"/>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8"/>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3"/>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8"/>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3"/>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8"/>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3"/>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8"/>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3"/>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8"/>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3"/>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8"/>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3"/>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8"/>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3"/>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8"/>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3"/>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8"/>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3"/>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8"/>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3"/>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8"/>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3"/>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8"/>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3"/>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8"/>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3"/>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8"/>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3"/>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8"/>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3"/>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8"/>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3"/>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8"/>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3"/>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8"/>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3"/>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8"/>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3"/>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8"/>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3"/>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8"/>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3"/>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8"/>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3"/>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8"/>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3"/>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8"/>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3"/>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8"/>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3"/>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8"/>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3"/>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8"/>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3"/>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8"/>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3"/>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8"/>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3"/>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8"/>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3"/>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8"/>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3"/>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8"/>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3"/>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8"/>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3"/>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8"/>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3"/>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8"/>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3"/>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8"/>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3"/>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8"/>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3"/>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8"/>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3"/>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8"/>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3"/>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8"/>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3"/>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8"/>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3"/>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8"/>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3"/>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8"/>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3"/>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8"/>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3"/>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8"/>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3"/>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8"/>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3"/>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8"/>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8"/>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8"/>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8"/>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8"/>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8"/>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8"/>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8"/>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8"/>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8"/>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8"/>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8"/>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8"/>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8"/>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8"/>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8"/>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8"/>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8"/>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8"/>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8"/>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8"/>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8"/>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8"/>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8"/>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8"/>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8"/>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8"/>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8"/>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8"/>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8"/>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8"/>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8"/>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8"/>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8"/>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8"/>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8"/>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8"/>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8"/>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8"/>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8"/>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8"/>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8"/>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8"/>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8"/>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8"/>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8"/>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8"/>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8"/>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8"/>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8"/>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8"/>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8"/>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8"/>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8"/>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8"/>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8"/>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8"/>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8"/>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8"/>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8"/>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8"/>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8"/>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8"/>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8"/>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8"/>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8"/>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8"/>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8"/>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8"/>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8"/>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8"/>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8"/>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8"/>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8"/>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8"/>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8"/>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8"/>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8"/>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8"/>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8"/>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8"/>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8"/>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8"/>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8"/>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8"/>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8"/>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8"/>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8"/>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8"/>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8"/>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8"/>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8"/>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8"/>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8"/>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8"/>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8"/>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8"/>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9"/>
      <c r="AV300" s="1050"/>
      <c r="AW300" s="1051"/>
      <c r="AX300" s="1051"/>
      <c r="AY300" s="1051"/>
      <c r="AZ300" s="1051"/>
      <c r="BA300" s="1051"/>
      <c r="BB300" s="1051"/>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9"/>
      <c r="AV301" s="1050"/>
      <c r="AW301" s="1051"/>
      <c r="AX301" s="1051"/>
      <c r="AY301" s="1051"/>
      <c r="AZ301" s="1051"/>
      <c r="BA301" s="1051"/>
      <c r="BB301" s="1051"/>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9"/>
      <c r="AV302" s="1050"/>
      <c r="AW302" s="1051"/>
      <c r="AX302" s="1051"/>
      <c r="AY302" s="1051"/>
      <c r="AZ302" s="1051"/>
      <c r="BA302" s="1051"/>
      <c r="BB302" s="1051"/>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9"/>
      <c r="AV303" s="1050"/>
      <c r="AW303" s="1051"/>
      <c r="AX303" s="1051"/>
      <c r="AY303" s="1051"/>
      <c r="AZ303" s="1051"/>
      <c r="BA303" s="1051"/>
      <c r="BB303" s="1051"/>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9"/>
      <c r="AV304" s="1050"/>
      <c r="AW304" s="1051"/>
      <c r="AX304" s="1051"/>
      <c r="AY304" s="1051"/>
      <c r="AZ304" s="1051"/>
      <c r="BA304" s="1051"/>
      <c r="BB304" s="1051"/>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9"/>
      <c r="AV305" s="1050"/>
      <c r="AW305" s="1051"/>
      <c r="AX305" s="1051"/>
      <c r="AY305" s="1051"/>
      <c r="AZ305" s="1051"/>
      <c r="BA305" s="1051"/>
      <c r="BB305" s="1051"/>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9"/>
      <c r="AV306" s="1050"/>
      <c r="AW306" s="1051"/>
      <c r="AX306" s="1051"/>
      <c r="AY306" s="1051"/>
      <c r="AZ306" s="1051"/>
      <c r="BA306" s="1051"/>
      <c r="BB306" s="1051"/>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9"/>
      <c r="AV307" s="1050"/>
      <c r="AW307" s="1051"/>
      <c r="AX307" s="1051"/>
      <c r="AY307" s="1051"/>
      <c r="AZ307" s="1051"/>
      <c r="BA307" s="1051"/>
      <c r="BB307" s="1051"/>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9"/>
      <c r="AV308" s="1050"/>
      <c r="AW308" s="1051"/>
      <c r="AX308" s="1051"/>
      <c r="AY308" s="1051"/>
      <c r="AZ308" s="1051"/>
      <c r="BA308" s="1051"/>
      <c r="BB308" s="1051"/>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9"/>
      <c r="AV309" s="1050"/>
      <c r="AW309" s="1051"/>
      <c r="AX309" s="1051"/>
      <c r="AY309" s="1051"/>
      <c r="AZ309" s="1051"/>
      <c r="BA309" s="1051"/>
      <c r="BB309" s="1051"/>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9"/>
      <c r="AV310" s="1050"/>
      <c r="AW310" s="1051"/>
      <c r="AX310" s="1051"/>
      <c r="AY310" s="1051"/>
      <c r="AZ310" s="1051"/>
      <c r="BA310" s="1051"/>
      <c r="BB310" s="1051"/>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9"/>
      <c r="AV311" s="1050"/>
      <c r="AW311" s="1051"/>
      <c r="AX311" s="1051"/>
      <c r="AY311" s="1051"/>
      <c r="AZ311" s="1051"/>
      <c r="BA311" s="1051"/>
      <c r="BB311" s="1051"/>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9"/>
      <c r="AV312" s="1050"/>
      <c r="AW312" s="1051"/>
      <c r="AX312" s="1051"/>
      <c r="AY312" s="1051"/>
      <c r="AZ312" s="1051"/>
      <c r="BA312" s="1051"/>
      <c r="BB312" s="1051"/>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9"/>
      <c r="AV313" s="1050"/>
      <c r="AW313" s="1051"/>
      <c r="AX313" s="1051"/>
      <c r="AY313" s="1051"/>
      <c r="AZ313" s="1051"/>
      <c r="BA313" s="1051"/>
      <c r="BB313" s="1051"/>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9"/>
      <c r="AV314" s="1050"/>
      <c r="AW314" s="1051"/>
      <c r="AX314" s="1051"/>
      <c r="AY314" s="1051"/>
      <c r="AZ314" s="1051"/>
      <c r="BA314" s="1051"/>
      <c r="BB314" s="1051"/>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9"/>
      <c r="AV315" s="1050"/>
      <c r="AW315" s="1051"/>
      <c r="AX315" s="1051"/>
      <c r="AY315" s="1051"/>
      <c r="AZ315" s="1051"/>
      <c r="BA315" s="1051"/>
      <c r="BB315" s="1051"/>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9"/>
      <c r="AV316" s="1050"/>
      <c r="AW316" s="1051"/>
      <c r="AX316" s="1051"/>
      <c r="AY316" s="1051"/>
      <c r="AZ316" s="1051"/>
      <c r="BA316" s="1051"/>
      <c r="BB316" s="1051"/>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9"/>
      <c r="AV317" s="1050"/>
      <c r="AW317" s="1051"/>
      <c r="AX317" s="1051"/>
      <c r="AY317" s="1051"/>
      <c r="AZ317" s="1051"/>
      <c r="BA317" s="1051"/>
      <c r="BB317" s="1051"/>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9"/>
      <c r="AV318" s="1050"/>
      <c r="AW318" s="1051"/>
      <c r="AX318" s="1051"/>
      <c r="AY318" s="1051"/>
      <c r="AZ318" s="1051"/>
      <c r="BA318" s="1051"/>
      <c r="BB318" s="1051"/>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9"/>
      <c r="AV319" s="1050"/>
      <c r="AW319" s="1051"/>
      <c r="AX319" s="1051"/>
      <c r="AY319" s="1051"/>
      <c r="AZ319" s="1051"/>
      <c r="BA319" s="1051"/>
      <c r="BB319" s="1051"/>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9"/>
      <c r="AV320" s="1050"/>
      <c r="AW320" s="1051"/>
      <c r="AX320" s="1051"/>
      <c r="AY320" s="1051"/>
      <c r="AZ320" s="1051"/>
      <c r="BA320" s="1051"/>
      <c r="BB320" s="1051"/>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9"/>
      <c r="AV321" s="1050"/>
      <c r="AW321" s="1051"/>
      <c r="AX321" s="1051"/>
      <c r="AY321" s="1051"/>
      <c r="AZ321" s="1051"/>
      <c r="BA321" s="1051"/>
      <c r="BB321" s="1051"/>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9"/>
      <c r="AV322" s="1050"/>
      <c r="AW322" s="1051"/>
      <c r="AX322" s="1051"/>
      <c r="AY322" s="1051"/>
      <c r="AZ322" s="1051"/>
      <c r="BA322" s="1051"/>
      <c r="BB322" s="1051"/>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9"/>
      <c r="AV323" s="1050"/>
      <c r="AW323" s="1051"/>
      <c r="AX323" s="1051"/>
      <c r="AY323" s="1051"/>
      <c r="AZ323" s="1051"/>
      <c r="BA323" s="1051"/>
      <c r="BB323" s="1051"/>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9"/>
      <c r="AV324" s="1050"/>
      <c r="AW324" s="1051"/>
      <c r="AX324" s="1051"/>
      <c r="AY324" s="1051"/>
      <c r="AZ324" s="1051"/>
      <c r="BA324" s="1051"/>
      <c r="BB324" s="1051"/>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9"/>
      <c r="AV325" s="1050"/>
      <c r="AW325" s="1051"/>
      <c r="AX325" s="1051"/>
      <c r="AY325" s="1051"/>
      <c r="AZ325" s="1051"/>
      <c r="BA325" s="1051"/>
      <c r="BB325" s="1051"/>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9"/>
      <c r="AV326" s="1050"/>
      <c r="AW326" s="1051"/>
      <c r="AX326" s="1051"/>
      <c r="AY326" s="1051"/>
      <c r="AZ326" s="1051"/>
      <c r="BA326" s="1051"/>
      <c r="BB326" s="1051"/>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9"/>
      <c r="AV327" s="1050"/>
      <c r="AW327" s="1051"/>
      <c r="AX327" s="1051"/>
      <c r="AY327" s="1051"/>
      <c r="AZ327" s="1051"/>
      <c r="BA327" s="1051"/>
      <c r="BB327" s="1051"/>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9"/>
      <c r="AV328" s="1050"/>
      <c r="AW328" s="1051"/>
      <c r="AX328" s="1051"/>
      <c r="AY328" s="1051"/>
      <c r="AZ328" s="1051"/>
      <c r="BA328" s="1051"/>
      <c r="BB328" s="1051"/>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9"/>
      <c r="AV329" s="1050"/>
      <c r="AW329" s="1051"/>
      <c r="AX329" s="1051"/>
      <c r="AY329" s="1051"/>
      <c r="AZ329" s="1051"/>
      <c r="BA329" s="1051"/>
      <c r="BB329" s="1051"/>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9"/>
      <c r="AV330" s="1050"/>
      <c r="AW330" s="1051"/>
      <c r="AX330" s="1051"/>
      <c r="AY330" s="1051"/>
      <c r="AZ330" s="1051"/>
      <c r="BA330" s="1051"/>
      <c r="BB330" s="1051"/>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9"/>
      <c r="AV331" s="1050"/>
      <c r="AW331" s="1051"/>
      <c r="AX331" s="1051"/>
      <c r="AY331" s="1051"/>
      <c r="AZ331" s="1051"/>
      <c r="BA331" s="1051"/>
      <c r="BB331" s="1051"/>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9"/>
      <c r="AV332" s="1050"/>
      <c r="AW332" s="1051"/>
      <c r="AX332" s="1051"/>
      <c r="AY332" s="1051"/>
      <c r="AZ332" s="1051"/>
      <c r="BA332" s="1051"/>
      <c r="BB332" s="1051"/>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9"/>
      <c r="AV333" s="1050"/>
      <c r="AW333" s="1051"/>
      <c r="AX333" s="1051"/>
      <c r="AY333" s="1051"/>
      <c r="AZ333" s="1051"/>
      <c r="BA333" s="1051"/>
      <c r="BB333" s="1051"/>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9"/>
      <c r="AV334" s="1050"/>
      <c r="AW334" s="1051"/>
      <c r="AX334" s="1051"/>
      <c r="AY334" s="1051"/>
      <c r="AZ334" s="1051"/>
      <c r="BA334" s="1051"/>
      <c r="BB334" s="1051"/>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9"/>
      <c r="AV335" s="1050"/>
      <c r="AW335" s="1051"/>
      <c r="AX335" s="1051"/>
      <c r="AY335" s="1051"/>
      <c r="AZ335" s="1051"/>
      <c r="BA335" s="1051"/>
      <c r="BB335" s="1051"/>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9"/>
      <c r="AV336" s="1050"/>
      <c r="AW336" s="1051"/>
      <c r="AX336" s="1051"/>
      <c r="AY336" s="1051"/>
      <c r="AZ336" s="1051"/>
      <c r="BA336" s="1051"/>
      <c r="BB336" s="1051"/>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9"/>
      <c r="AV337" s="1050"/>
      <c r="AW337" s="1051"/>
      <c r="AX337" s="1051"/>
      <c r="AY337" s="1051"/>
      <c r="AZ337" s="1051"/>
      <c r="BA337" s="1051"/>
      <c r="BB337" s="1051"/>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9"/>
      <c r="AV338" s="1050"/>
      <c r="AW338" s="1051"/>
      <c r="AX338" s="1051"/>
      <c r="AY338" s="1051"/>
      <c r="AZ338" s="1051"/>
      <c r="BA338" s="1051"/>
      <c r="BB338" s="1051"/>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9"/>
      <c r="AV339" s="1050"/>
      <c r="AW339" s="1051"/>
      <c r="AX339" s="1051"/>
      <c r="AY339" s="1051"/>
      <c r="AZ339" s="1051"/>
      <c r="BA339" s="1051"/>
      <c r="BB339" s="1051"/>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9"/>
      <c r="AV340" s="1050"/>
      <c r="AW340" s="1051"/>
      <c r="AX340" s="1051"/>
      <c r="AY340" s="1051"/>
      <c r="AZ340" s="1051"/>
      <c r="BA340" s="1051"/>
      <c r="BB340" s="1051"/>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9"/>
      <c r="AV341" s="1050"/>
      <c r="AW341" s="1051"/>
      <c r="AX341" s="1051"/>
      <c r="AY341" s="1051"/>
      <c r="AZ341" s="1051"/>
      <c r="BA341" s="1051"/>
      <c r="BB341" s="1051"/>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9"/>
      <c r="AV342" s="1050"/>
      <c r="AW342" s="1051"/>
      <c r="AX342" s="1051"/>
      <c r="AY342" s="1051"/>
      <c r="AZ342" s="1051"/>
      <c r="BA342" s="1051"/>
      <c r="BB342" s="1051"/>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9"/>
      <c r="AV343" s="1050"/>
      <c r="AW343" s="1051"/>
      <c r="AX343" s="1051"/>
      <c r="AY343" s="1051"/>
      <c r="AZ343" s="1051"/>
      <c r="BA343" s="1051"/>
      <c r="BB343" s="1051"/>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9"/>
      <c r="AV344" s="1050"/>
      <c r="AW344" s="1051"/>
      <c r="AX344" s="1051"/>
      <c r="AY344" s="1051"/>
      <c r="AZ344" s="1051"/>
      <c r="BA344" s="1051"/>
      <c r="BB344" s="1051"/>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9"/>
      <c r="AV345" s="1050"/>
      <c r="AW345" s="1051"/>
      <c r="AX345" s="1051"/>
      <c r="AY345" s="1051"/>
      <c r="AZ345" s="1051"/>
      <c r="BA345" s="1051"/>
      <c r="BB345" s="1051"/>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9"/>
      <c r="AV346" s="1050"/>
      <c r="AW346" s="1051"/>
      <c r="AX346" s="1051"/>
      <c r="AY346" s="1051"/>
      <c r="AZ346" s="1051"/>
      <c r="BA346" s="1051"/>
      <c r="BB346" s="1051"/>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9"/>
      <c r="AV347" s="1050"/>
      <c r="AW347" s="1051"/>
      <c r="AX347" s="1051"/>
      <c r="AY347" s="1051"/>
      <c r="AZ347" s="1051"/>
      <c r="BA347" s="1051"/>
      <c r="BB347" s="1051"/>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9"/>
      <c r="AV348" s="1050"/>
      <c r="AW348" s="1051"/>
      <c r="AX348" s="1051"/>
      <c r="AY348" s="1051"/>
      <c r="AZ348" s="1051"/>
      <c r="BA348" s="1051"/>
      <c r="BB348" s="1051"/>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9"/>
      <c r="AV349" s="1050"/>
      <c r="AW349" s="1051"/>
      <c r="AX349" s="1051"/>
      <c r="AY349" s="1051"/>
      <c r="AZ349" s="1051"/>
      <c r="BA349" s="1051"/>
      <c r="BB349" s="1051"/>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9"/>
      <c r="AV350" s="1050"/>
      <c r="AW350" s="1051"/>
      <c r="AX350" s="1051"/>
      <c r="AY350" s="1051"/>
      <c r="AZ350" s="1051"/>
      <c r="BA350" s="1051"/>
      <c r="BB350" s="1051"/>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9"/>
      <c r="AV351" s="1050"/>
      <c r="AW351" s="1051"/>
      <c r="AX351" s="1051"/>
      <c r="AY351" s="1051"/>
      <c r="AZ351" s="1051"/>
      <c r="BA351" s="1051"/>
      <c r="BB351" s="1051"/>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9"/>
      <c r="AV352" s="1050"/>
      <c r="AW352" s="1051"/>
      <c r="AX352" s="1051"/>
      <c r="AY352" s="1051"/>
      <c r="AZ352" s="1051"/>
      <c r="BA352" s="1051"/>
      <c r="BB352" s="1051"/>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9"/>
      <c r="AV353" s="1050"/>
      <c r="AW353" s="1051"/>
      <c r="AX353" s="1051"/>
      <c r="AY353" s="1051"/>
      <c r="AZ353" s="1051"/>
      <c r="BA353" s="1051"/>
      <c r="BB353" s="1051"/>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9"/>
      <c r="AV354" s="1050"/>
      <c r="AW354" s="1051"/>
      <c r="AX354" s="1051"/>
      <c r="AY354" s="1051"/>
      <c r="AZ354" s="1051"/>
      <c r="BA354" s="1051"/>
      <c r="BB354" s="1051"/>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9"/>
      <c r="AV355" s="1050"/>
      <c r="AW355" s="1051"/>
      <c r="AX355" s="1051"/>
      <c r="AY355" s="1051"/>
      <c r="AZ355" s="1051"/>
      <c r="BA355" s="1051"/>
      <c r="BB355" s="1051"/>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9"/>
      <c r="AV356" s="1050"/>
      <c r="AW356" s="1051"/>
      <c r="AX356" s="1051"/>
      <c r="AY356" s="1051"/>
      <c r="AZ356" s="1051"/>
      <c r="BA356" s="1051"/>
      <c r="BB356" s="1051"/>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9"/>
      <c r="AV357" s="1050"/>
      <c r="AW357" s="1051"/>
      <c r="AX357" s="1051"/>
      <c r="AY357" s="1051"/>
      <c r="AZ357" s="1051"/>
      <c r="BA357" s="1051"/>
      <c r="BB357" s="1051"/>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9"/>
      <c r="AV358" s="1050"/>
      <c r="AW358" s="1051"/>
      <c r="AX358" s="1051"/>
      <c r="AY358" s="1051"/>
      <c r="AZ358" s="1051"/>
      <c r="BA358" s="1051"/>
      <c r="BB358" s="1051"/>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9"/>
      <c r="AV359" s="1050"/>
      <c r="AW359" s="1051"/>
      <c r="AX359" s="1051"/>
      <c r="AY359" s="1051"/>
      <c r="AZ359" s="1051"/>
      <c r="BA359" s="1051"/>
      <c r="BB359" s="1051"/>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9"/>
      <c r="AV360" s="1050"/>
      <c r="AW360" s="1051"/>
      <c r="AX360" s="1051"/>
      <c r="AY360" s="1051"/>
      <c r="AZ360" s="1051"/>
      <c r="BA360" s="1051"/>
      <c r="BB360" s="1051"/>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9"/>
      <c r="AV361" s="1050"/>
      <c r="AW361" s="1051"/>
      <c r="AX361" s="1051"/>
      <c r="AY361" s="1051"/>
      <c r="AZ361" s="1051"/>
      <c r="BA361" s="1051"/>
      <c r="BB361" s="1051"/>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9"/>
      <c r="AV362" s="1050"/>
      <c r="AW362" s="1051"/>
      <c r="AX362" s="1051"/>
      <c r="AY362" s="1051"/>
      <c r="AZ362" s="1051"/>
      <c r="BA362" s="1051"/>
      <c r="BB362" s="1051"/>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9"/>
      <c r="AV363" s="1050"/>
      <c r="AW363" s="1051"/>
      <c r="AX363" s="1051"/>
      <c r="AY363" s="1051"/>
      <c r="AZ363" s="1051"/>
      <c r="BA363" s="1051"/>
      <c r="BB363" s="1051"/>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9"/>
      <c r="AV364" s="1050"/>
      <c r="AW364" s="1051"/>
      <c r="AX364" s="1051"/>
      <c r="AY364" s="1051"/>
      <c r="AZ364" s="1051"/>
      <c r="BA364" s="1051"/>
      <c r="BB364" s="1051"/>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9"/>
      <c r="AV365" s="1050"/>
      <c r="AW365" s="1051"/>
      <c r="AX365" s="1051"/>
      <c r="AY365" s="1051"/>
      <c r="AZ365" s="1051"/>
      <c r="BA365" s="1051"/>
      <c r="BB365" s="1051"/>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9"/>
      <c r="AV366" s="1050"/>
      <c r="AW366" s="1051"/>
      <c r="AX366" s="1051"/>
      <c r="AY366" s="1051"/>
      <c r="AZ366" s="1051"/>
      <c r="BA366" s="1051"/>
      <c r="BB366" s="1051"/>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9"/>
      <c r="AV367" s="1050"/>
      <c r="AW367" s="1051"/>
      <c r="AX367" s="1051"/>
      <c r="AY367" s="1051"/>
      <c r="AZ367" s="1051"/>
      <c r="BA367" s="1051"/>
      <c r="BB367" s="1051"/>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9"/>
      <c r="AV368" s="1050"/>
      <c r="AW368" s="1051"/>
      <c r="AX368" s="1051"/>
      <c r="AY368" s="1051"/>
      <c r="AZ368" s="1051"/>
      <c r="BA368" s="1051"/>
      <c r="BB368" s="1051"/>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9"/>
      <c r="AV369" s="1050"/>
      <c r="AW369" s="1051"/>
      <c r="AX369" s="1051"/>
      <c r="AY369" s="1051"/>
      <c r="AZ369" s="1051"/>
      <c r="BA369" s="1051"/>
      <c r="BB369" s="1051"/>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9"/>
      <c r="AV370" s="1050"/>
      <c r="AW370" s="1051"/>
      <c r="AX370" s="1051"/>
      <c r="AY370" s="1051"/>
      <c r="AZ370" s="1051"/>
      <c r="BA370" s="1051"/>
      <c r="BB370" s="1051"/>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9"/>
      <c r="AV371" s="1050"/>
      <c r="AW371" s="1051"/>
      <c r="AX371" s="1051"/>
      <c r="AY371" s="1051"/>
      <c r="AZ371" s="1051"/>
      <c r="BA371" s="1051"/>
      <c r="BB371" s="1051"/>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9"/>
      <c r="AV372" s="1050"/>
      <c r="AW372" s="1051"/>
      <c r="AX372" s="1051"/>
      <c r="AY372" s="1051"/>
      <c r="AZ372" s="1051"/>
      <c r="BA372" s="1051"/>
      <c r="BB372" s="1051"/>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9"/>
      <c r="AV373" s="1050"/>
      <c r="AW373" s="1051"/>
      <c r="AX373" s="1051"/>
      <c r="AY373" s="1051"/>
      <c r="AZ373" s="1051"/>
      <c r="BA373" s="1051"/>
      <c r="BB373" s="1051"/>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9"/>
      <c r="AV374" s="1050"/>
      <c r="AW374" s="1051"/>
      <c r="AX374" s="1051"/>
      <c r="AY374" s="1051"/>
      <c r="AZ374" s="1051"/>
      <c r="BA374" s="1051"/>
      <c r="BB374" s="1051"/>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9"/>
      <c r="AV375" s="1050"/>
      <c r="AW375" s="1051"/>
      <c r="AX375" s="1051"/>
      <c r="AY375" s="1051"/>
      <c r="AZ375" s="1051"/>
      <c r="BA375" s="1051"/>
      <c r="BB375" s="1051"/>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9"/>
      <c r="AV376" s="1050"/>
      <c r="AW376" s="1051"/>
      <c r="AX376" s="1051"/>
      <c r="AY376" s="1051"/>
      <c r="AZ376" s="1051"/>
      <c r="BA376" s="1051"/>
      <c r="BB376" s="1051"/>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9"/>
      <c r="AV377" s="1050"/>
      <c r="AW377" s="1051"/>
      <c r="AX377" s="1051"/>
      <c r="AY377" s="1051"/>
      <c r="AZ377" s="1051"/>
      <c r="BA377" s="1051"/>
      <c r="BB377" s="1051"/>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9"/>
      <c r="AV378" s="1050"/>
      <c r="AW378" s="1051"/>
      <c r="AX378" s="1051"/>
      <c r="AY378" s="1051"/>
      <c r="AZ378" s="1051"/>
      <c r="BA378" s="1051"/>
      <c r="BB378" s="1051"/>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9"/>
      <c r="AV379" s="1050"/>
      <c r="AW379" s="1051"/>
      <c r="AX379" s="1051"/>
      <c r="AY379" s="1051"/>
      <c r="AZ379" s="1051"/>
      <c r="BA379" s="1051"/>
      <c r="BB379" s="1051"/>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9"/>
      <c r="AV380" s="1050"/>
      <c r="AW380" s="1051"/>
      <c r="AX380" s="1051"/>
      <c r="AY380" s="1051"/>
      <c r="AZ380" s="1051"/>
      <c r="BA380" s="1051"/>
      <c r="BB380" s="1051"/>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9"/>
      <c r="AV381" s="1050"/>
      <c r="AW381" s="1051"/>
      <c r="AX381" s="1051"/>
      <c r="AY381" s="1051"/>
      <c r="AZ381" s="1051"/>
      <c r="BA381" s="1051"/>
      <c r="BB381" s="1051"/>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9"/>
      <c r="AV382" s="1050"/>
      <c r="AW382" s="1051"/>
      <c r="AX382" s="1051"/>
      <c r="AY382" s="1051"/>
      <c r="AZ382" s="1051"/>
      <c r="BA382" s="1051"/>
      <c r="BB382" s="1051"/>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9"/>
      <c r="AV383" s="1050"/>
      <c r="AW383" s="1051"/>
      <c r="AX383" s="1051"/>
      <c r="AY383" s="1051"/>
      <c r="AZ383" s="1051"/>
      <c r="BA383" s="1051"/>
      <c r="BB383" s="1051"/>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9"/>
      <c r="AV384" s="1050"/>
      <c r="AW384" s="1051"/>
      <c r="AX384" s="1051"/>
      <c r="AY384" s="1051"/>
      <c r="AZ384" s="1051"/>
      <c r="BA384" s="1051"/>
      <c r="BB384" s="1051"/>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9"/>
      <c r="AV385" s="1050"/>
      <c r="AW385" s="1051"/>
      <c r="AX385" s="1051"/>
      <c r="AY385" s="1051"/>
      <c r="AZ385" s="1051"/>
      <c r="BA385" s="1051"/>
      <c r="BB385" s="1051"/>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9"/>
      <c r="AV386" s="1050"/>
      <c r="AW386" s="1051"/>
      <c r="AX386" s="1051"/>
      <c r="AY386" s="1051"/>
      <c r="AZ386" s="1051"/>
      <c r="BA386" s="1051"/>
      <c r="BB386" s="1051"/>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9"/>
      <c r="AV387" s="1050"/>
      <c r="AW387" s="1051"/>
      <c r="AX387" s="1051"/>
      <c r="AY387" s="1051"/>
      <c r="AZ387" s="1051"/>
      <c r="BA387" s="1051"/>
      <c r="BB387" s="1051"/>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9"/>
      <c r="AV388" s="1050"/>
      <c r="AW388" s="1051"/>
      <c r="AX388" s="1051"/>
      <c r="AY388" s="1051"/>
      <c r="AZ388" s="1051"/>
      <c r="BA388" s="1051"/>
      <c r="BB388" s="1051"/>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9"/>
      <c r="AV389" s="1050"/>
      <c r="AW389" s="1051"/>
      <c r="AX389" s="1051"/>
      <c r="AY389" s="1051"/>
      <c r="AZ389" s="1051"/>
      <c r="BA389" s="1051"/>
      <c r="BB389" s="1051"/>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9"/>
      <c r="AV390" s="1050"/>
      <c r="AW390" s="1051"/>
      <c r="AX390" s="1051"/>
      <c r="AY390" s="1051"/>
      <c r="AZ390" s="1051"/>
      <c r="BA390" s="1051"/>
      <c r="BB390" s="1051"/>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9"/>
      <c r="AV391" s="1050"/>
      <c r="AW391" s="1051"/>
      <c r="AX391" s="1051"/>
      <c r="AY391" s="1051"/>
      <c r="AZ391" s="1051"/>
      <c r="BA391" s="1051"/>
      <c r="BB391" s="1051"/>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9"/>
      <c r="AV392" s="1050"/>
      <c r="AW392" s="1051"/>
      <c r="AX392" s="1051"/>
      <c r="AY392" s="1051"/>
      <c r="AZ392" s="1051"/>
      <c r="BA392" s="1051"/>
      <c r="BB392" s="1051"/>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9"/>
      <c r="AV393" s="1050"/>
      <c r="AW393" s="1051"/>
      <c r="AX393" s="1051"/>
      <c r="AY393" s="1051"/>
      <c r="AZ393" s="1051"/>
      <c r="BA393" s="1051"/>
      <c r="BB393" s="1051"/>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9"/>
      <c r="AV394" s="1050"/>
      <c r="AW394" s="1051"/>
      <c r="AX394" s="1051"/>
      <c r="AY394" s="1051"/>
      <c r="AZ394" s="1051"/>
      <c r="BA394" s="1051"/>
      <c r="BB394" s="1051"/>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9"/>
      <c r="AV395" s="1050"/>
      <c r="AW395" s="1051"/>
      <c r="AX395" s="1051"/>
      <c r="AY395" s="1051"/>
      <c r="AZ395" s="1051"/>
      <c r="BA395" s="1051"/>
      <c r="BB395" s="1051"/>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9"/>
      <c r="AV396" s="1050"/>
      <c r="AW396" s="1051"/>
      <c r="AX396" s="1051"/>
      <c r="AY396" s="1051"/>
      <c r="AZ396" s="1051"/>
      <c r="BA396" s="1051"/>
      <c r="BB396" s="1051"/>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9"/>
      <c r="AV397" s="1050"/>
      <c r="AW397" s="1051"/>
      <c r="AX397" s="1051"/>
      <c r="AY397" s="1051"/>
      <c r="AZ397" s="1051"/>
      <c r="BA397" s="1051"/>
      <c r="BB397" s="1051"/>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9"/>
      <c r="AV398" s="1050"/>
      <c r="AW398" s="1051"/>
      <c r="AX398" s="1051"/>
      <c r="AY398" s="1051"/>
      <c r="AZ398" s="1051"/>
      <c r="BA398" s="1051"/>
      <c r="BB398" s="1051"/>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9"/>
      <c r="AV399" s="1050"/>
      <c r="AW399" s="1051"/>
      <c r="AX399" s="1051"/>
      <c r="AY399" s="1051"/>
      <c r="AZ399" s="1051"/>
      <c r="BA399" s="1051"/>
      <c r="BB399" s="1051"/>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9"/>
      <c r="AV400" s="1050"/>
      <c r="AW400" s="1051"/>
      <c r="AX400" s="1051"/>
      <c r="AY400" s="1051"/>
      <c r="AZ400" s="1051"/>
      <c r="BA400" s="1051"/>
      <c r="BB400" s="1051"/>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9"/>
      <c r="AV401" s="1050"/>
      <c r="AW401" s="1051"/>
      <c r="AX401" s="1051"/>
      <c r="AY401" s="1051"/>
      <c r="AZ401" s="1051"/>
      <c r="BA401" s="1051"/>
      <c r="BB401" s="1051"/>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9"/>
      <c r="AV402" s="1050"/>
      <c r="AW402" s="1051"/>
      <c r="AX402" s="1051"/>
      <c r="AY402" s="1051"/>
      <c r="AZ402" s="1051"/>
      <c r="BA402" s="1051"/>
      <c r="BB402" s="1051"/>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9"/>
      <c r="AV403" s="1050"/>
      <c r="AW403" s="1051"/>
      <c r="AX403" s="1051"/>
      <c r="AY403" s="1051"/>
      <c r="AZ403" s="1051"/>
      <c r="BA403" s="1051"/>
      <c r="BB403" s="1051"/>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9"/>
      <c r="AV404" s="1050"/>
      <c r="AW404" s="1051"/>
      <c r="AX404" s="1051"/>
      <c r="AY404" s="1051"/>
      <c r="AZ404" s="1051"/>
      <c r="BA404" s="1051"/>
      <c r="BB404" s="1051"/>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9"/>
      <c r="AV405" s="1050"/>
      <c r="AW405" s="1051"/>
      <c r="AX405" s="1051"/>
      <c r="AY405" s="1051"/>
      <c r="AZ405" s="1051"/>
      <c r="BA405" s="1051"/>
      <c r="BB405" s="1051"/>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9"/>
      <c r="AV406" s="1050"/>
      <c r="AW406" s="1051"/>
      <c r="AX406" s="1051"/>
      <c r="AY406" s="1051"/>
      <c r="AZ406" s="1051"/>
      <c r="BA406" s="1051"/>
      <c r="BB406" s="1051"/>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9"/>
      <c r="AV407" s="1050"/>
      <c r="AW407" s="1051"/>
      <c r="AX407" s="1051"/>
      <c r="AY407" s="1051"/>
      <c r="AZ407" s="1051"/>
      <c r="BA407" s="1051"/>
      <c r="BB407" s="1051"/>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9"/>
      <c r="AV408" s="1050"/>
      <c r="AW408" s="1051"/>
      <c r="AX408" s="1051"/>
      <c r="AY408" s="1051"/>
      <c r="AZ408" s="1051"/>
      <c r="BA408" s="1051"/>
      <c r="BB408" s="1051"/>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9"/>
      <c r="AV409" s="1050"/>
      <c r="AW409" s="1051"/>
      <c r="AX409" s="1051"/>
      <c r="AY409" s="1051"/>
      <c r="AZ409" s="1051"/>
      <c r="BA409" s="1051"/>
      <c r="BB409" s="1051"/>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9"/>
      <c r="AV410" s="1050"/>
      <c r="AW410" s="1051"/>
      <c r="AX410" s="1051"/>
      <c r="AY410" s="1051"/>
      <c r="AZ410" s="1051"/>
      <c r="BA410" s="1051"/>
      <c r="BB410" s="1051"/>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9"/>
      <c r="AV411" s="1050"/>
      <c r="AW411" s="1051"/>
      <c r="AX411" s="1051"/>
      <c r="AY411" s="1051"/>
      <c r="AZ411" s="1051"/>
      <c r="BA411" s="1051"/>
      <c r="BB411" s="1051"/>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9"/>
      <c r="AV412" s="1050"/>
      <c r="AW412" s="1051"/>
      <c r="AX412" s="1051"/>
      <c r="AY412" s="1051"/>
      <c r="AZ412" s="1051"/>
      <c r="BA412" s="1051"/>
      <c r="BB412" s="1051"/>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9"/>
      <c r="AV413" s="1050"/>
      <c r="AW413" s="1051"/>
      <c r="AX413" s="1051"/>
      <c r="AY413" s="1051"/>
      <c r="AZ413" s="1051"/>
      <c r="BA413" s="1051"/>
      <c r="BB413" s="1051"/>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9"/>
      <c r="AV414" s="1050"/>
      <c r="AW414" s="1051"/>
      <c r="AX414" s="1051"/>
      <c r="AY414" s="1051"/>
      <c r="AZ414" s="1051"/>
      <c r="BA414" s="1051"/>
      <c r="BB414" s="1051"/>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9"/>
      <c r="AV415" s="1050"/>
      <c r="AW415" s="1051"/>
      <c r="AX415" s="1051"/>
      <c r="AY415" s="1051"/>
      <c r="AZ415" s="1051"/>
      <c r="BA415" s="1051"/>
      <c r="BB415" s="1051"/>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9"/>
      <c r="AV416" s="1050"/>
      <c r="AW416" s="1051"/>
      <c r="AX416" s="1051"/>
      <c r="AY416" s="1051"/>
      <c r="AZ416" s="1051"/>
      <c r="BA416" s="1051"/>
      <c r="BB416" s="1051"/>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9"/>
      <c r="AV417" s="1050"/>
      <c r="AW417" s="1051"/>
      <c r="AX417" s="1051"/>
      <c r="AY417" s="1051"/>
      <c r="AZ417" s="1051"/>
      <c r="BA417" s="1051"/>
      <c r="BB417" s="1051"/>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9"/>
      <c r="AV418" s="1050"/>
      <c r="AW418" s="1051"/>
      <c r="AX418" s="1051"/>
      <c r="AY418" s="1051"/>
      <c r="AZ418" s="1051"/>
      <c r="BA418" s="1051"/>
      <c r="BB418" s="1051"/>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9"/>
      <c r="AV419" s="1050"/>
      <c r="AW419" s="1051"/>
      <c r="AX419" s="1051"/>
      <c r="AY419" s="1051"/>
      <c r="AZ419" s="1051"/>
      <c r="BA419" s="1051"/>
      <c r="BB419" s="1051"/>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9"/>
      <c r="AV420" s="1050"/>
      <c r="AW420" s="1051"/>
      <c r="AX420" s="1051"/>
      <c r="AY420" s="1051"/>
      <c r="AZ420" s="1051"/>
      <c r="BA420" s="1051"/>
      <c r="BB420" s="1051"/>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9"/>
      <c r="AV421" s="1050"/>
      <c r="AW421" s="1051"/>
      <c r="AX421" s="1051"/>
      <c r="AY421" s="1051"/>
      <c r="AZ421" s="1051"/>
      <c r="BA421" s="1051"/>
      <c r="BB421" s="1051"/>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9"/>
      <c r="AV422" s="1050"/>
      <c r="AW422" s="1051"/>
      <c r="AX422" s="1051"/>
      <c r="AY422" s="1051"/>
      <c r="AZ422" s="1051"/>
      <c r="BA422" s="1051"/>
      <c r="BB422" s="1051"/>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9"/>
      <c r="AV423" s="1050"/>
      <c r="AW423" s="1051"/>
      <c r="AX423" s="1051"/>
      <c r="AY423" s="1051"/>
      <c r="AZ423" s="1051"/>
      <c r="BA423" s="1051"/>
      <c r="BB423" s="1051"/>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9"/>
      <c r="AV424" s="1050"/>
      <c r="AW424" s="1051"/>
      <c r="AX424" s="1051"/>
      <c r="AY424" s="1051"/>
      <c r="AZ424" s="1051"/>
      <c r="BA424" s="1051"/>
      <c r="BB424" s="1051"/>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9"/>
      <c r="AV425" s="1050"/>
      <c r="AW425" s="1051"/>
      <c r="AX425" s="1051"/>
      <c r="AY425" s="1051"/>
      <c r="AZ425" s="1051"/>
      <c r="BA425" s="1051"/>
      <c r="BB425" s="1051"/>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9"/>
      <c r="AV426" s="1050"/>
      <c r="AW426" s="1051"/>
      <c r="AX426" s="1051"/>
      <c r="AY426" s="1051"/>
      <c r="AZ426" s="1051"/>
      <c r="BA426" s="1051"/>
      <c r="BB426" s="1051"/>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9"/>
      <c r="AV427" s="1050"/>
      <c r="AW427" s="1051"/>
      <c r="AX427" s="1051"/>
      <c r="AY427" s="1051"/>
      <c r="AZ427" s="1051"/>
      <c r="BA427" s="1051"/>
      <c r="BB427" s="1051"/>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9"/>
      <c r="AV428" s="1050"/>
      <c r="AW428" s="1051"/>
      <c r="AX428" s="1051"/>
      <c r="AY428" s="1051"/>
      <c r="AZ428" s="1051"/>
      <c r="BA428" s="1051"/>
      <c r="BB428" s="1051"/>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9"/>
      <c r="AV429" s="1050"/>
      <c r="AW429" s="1051"/>
      <c r="AX429" s="1051"/>
      <c r="AY429" s="1051"/>
      <c r="AZ429" s="1051"/>
      <c r="BA429" s="1051"/>
      <c r="BB429" s="1051"/>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9"/>
      <c r="AV430" s="1050"/>
      <c r="AW430" s="1051"/>
      <c r="AX430" s="1051"/>
      <c r="AY430" s="1051"/>
      <c r="AZ430" s="1051"/>
      <c r="BA430" s="1051"/>
      <c r="BB430" s="1051"/>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9"/>
      <c r="AV431" s="1050"/>
      <c r="AW431" s="1051"/>
      <c r="AX431" s="1051"/>
      <c r="AY431" s="1051"/>
      <c r="AZ431" s="1051"/>
      <c r="BA431" s="1051"/>
      <c r="BB431" s="1051"/>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9"/>
      <c r="AV432" s="1050"/>
      <c r="AW432" s="1051"/>
      <c r="AX432" s="1051"/>
      <c r="AY432" s="1051"/>
      <c r="AZ432" s="1051"/>
      <c r="BA432" s="1051"/>
      <c r="BB432" s="1051"/>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9"/>
      <c r="AV433" s="1050"/>
      <c r="AW433" s="1051"/>
      <c r="AX433" s="1051"/>
      <c r="AY433" s="1051"/>
      <c r="AZ433" s="1051"/>
      <c r="BA433" s="1051"/>
      <c r="BB433" s="1051"/>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9"/>
      <c r="AV434" s="1050"/>
      <c r="AW434" s="1051"/>
      <c r="AX434" s="1051"/>
      <c r="AY434" s="1051"/>
      <c r="AZ434" s="1051"/>
      <c r="BA434" s="1051"/>
      <c r="BB434" s="1051"/>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9"/>
      <c r="AV435" s="1050"/>
      <c r="AW435" s="1051"/>
      <c r="AX435" s="1051"/>
      <c r="AY435" s="1051"/>
      <c r="AZ435" s="1051"/>
      <c r="BA435" s="1051"/>
      <c r="BB435" s="1051"/>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9"/>
      <c r="AV436" s="1050"/>
      <c r="AW436" s="1051"/>
      <c r="AX436" s="1051"/>
      <c r="AY436" s="1051"/>
      <c r="AZ436" s="1051"/>
      <c r="BA436" s="1051"/>
      <c r="BB436" s="1051"/>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9"/>
      <c r="AV437" s="1050"/>
      <c r="AW437" s="1051"/>
      <c r="AX437" s="1051"/>
      <c r="AY437" s="1051"/>
      <c r="AZ437" s="1051"/>
      <c r="BA437" s="1051"/>
      <c r="BB437" s="1051"/>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9"/>
      <c r="AV438" s="1050"/>
      <c r="AW438" s="1051"/>
      <c r="AX438" s="1051"/>
      <c r="AY438" s="1051"/>
      <c r="AZ438" s="1051"/>
      <c r="BA438" s="1051"/>
      <c r="BB438" s="1051"/>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9"/>
      <c r="AV439" s="1050"/>
      <c r="AW439" s="1051"/>
      <c r="AX439" s="1051"/>
      <c r="AY439" s="1051"/>
      <c r="AZ439" s="1051"/>
      <c r="BA439" s="1051"/>
      <c r="BB439" s="1051"/>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9"/>
      <c r="AV440" s="1050"/>
      <c r="AW440" s="1051"/>
      <c r="AX440" s="1051"/>
      <c r="AY440" s="1051"/>
      <c r="AZ440" s="1051"/>
      <c r="BA440" s="1051"/>
      <c r="BB440" s="1051"/>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9"/>
      <c r="AV441" s="1050"/>
      <c r="AW441" s="1051"/>
      <c r="AX441" s="1051"/>
      <c r="AY441" s="1051"/>
      <c r="AZ441" s="1051"/>
      <c r="BA441" s="1051"/>
      <c r="BB441" s="1051"/>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9"/>
      <c r="AV442" s="1050"/>
      <c r="AW442" s="1051"/>
      <c r="AX442" s="1051"/>
      <c r="AY442" s="1051"/>
      <c r="AZ442" s="1051"/>
      <c r="BA442" s="1051"/>
      <c r="BB442" s="1051"/>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9"/>
      <c r="AV443" s="1050"/>
      <c r="AW443" s="1051"/>
      <c r="AX443" s="1051"/>
      <c r="AY443" s="1051"/>
      <c r="AZ443" s="1051"/>
      <c r="BA443" s="1051"/>
      <c r="BB443" s="1051"/>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9"/>
      <c r="AV444" s="1050"/>
      <c r="AW444" s="1051"/>
      <c r="AX444" s="1051"/>
      <c r="AY444" s="1051"/>
      <c r="AZ444" s="1051"/>
      <c r="BA444" s="1051"/>
      <c r="BB444" s="1051"/>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9"/>
      <c r="AV445" s="1050"/>
      <c r="AW445" s="1051"/>
      <c r="AX445" s="1051"/>
      <c r="AY445" s="1051"/>
      <c r="AZ445" s="1051"/>
      <c r="BA445" s="1051"/>
      <c r="BB445" s="1051"/>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9"/>
      <c r="AV446" s="1050"/>
      <c r="AW446" s="1051"/>
      <c r="AX446" s="1051"/>
      <c r="AY446" s="1051"/>
      <c r="AZ446" s="1051"/>
      <c r="BA446" s="1051"/>
      <c r="BB446" s="1051"/>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9"/>
      <c r="AV447" s="1050"/>
      <c r="AW447" s="1051"/>
      <c r="AX447" s="1051"/>
      <c r="AY447" s="1051"/>
      <c r="AZ447" s="1051"/>
      <c r="BA447" s="1051"/>
      <c r="BB447" s="1051"/>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9"/>
      <c r="AV448" s="1050"/>
      <c r="AW448" s="1051"/>
      <c r="AX448" s="1051"/>
      <c r="AY448" s="1051"/>
      <c r="AZ448" s="1051"/>
      <c r="BA448" s="1051"/>
      <c r="BB448" s="1051"/>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9"/>
      <c r="AV449" s="1050"/>
      <c r="AW449" s="1051"/>
      <c r="AX449" s="1051"/>
      <c r="AY449" s="1051"/>
      <c r="AZ449" s="1051"/>
      <c r="BA449" s="1051"/>
      <c r="BB449" s="1051"/>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9"/>
      <c r="AV450" s="1050"/>
      <c r="AW450" s="1051"/>
      <c r="AX450" s="1051"/>
      <c r="AY450" s="1051"/>
      <c r="AZ450" s="1051"/>
      <c r="BA450" s="1051"/>
      <c r="BB450" s="1051"/>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9"/>
      <c r="AV451" s="1050"/>
      <c r="AW451" s="1051"/>
      <c r="AX451" s="1051"/>
      <c r="AY451" s="1051"/>
      <c r="AZ451" s="1051"/>
      <c r="BA451" s="1051"/>
      <c r="BB451" s="1051"/>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9"/>
      <c r="AV452" s="1050"/>
      <c r="AW452" s="1051"/>
      <c r="AX452" s="1051"/>
      <c r="AY452" s="1051"/>
      <c r="AZ452" s="1051"/>
      <c r="BA452" s="1051"/>
      <c r="BB452" s="1051"/>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9"/>
      <c r="AV453" s="1050"/>
      <c r="AW453" s="1051"/>
      <c r="AX453" s="1051"/>
      <c r="AY453" s="1051"/>
      <c r="AZ453" s="1051"/>
      <c r="BA453" s="1051"/>
      <c r="BB453" s="1051"/>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9"/>
      <c r="AV454" s="1050"/>
      <c r="AW454" s="1051"/>
      <c r="AX454" s="1051"/>
      <c r="AY454" s="1051"/>
      <c r="AZ454" s="1051"/>
      <c r="BA454" s="1051"/>
      <c r="BB454" s="1051"/>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9"/>
      <c r="AV455" s="1050"/>
      <c r="AW455" s="1051"/>
      <c r="AX455" s="1051"/>
      <c r="AY455" s="1051"/>
      <c r="AZ455" s="1051"/>
      <c r="BA455" s="1051"/>
      <c r="BB455" s="1051"/>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9"/>
      <c r="AV456" s="1050"/>
      <c r="AW456" s="1051"/>
      <c r="AX456" s="1051"/>
      <c r="AY456" s="1051"/>
      <c r="AZ456" s="1051"/>
      <c r="BA456" s="1051"/>
      <c r="BB456" s="1051"/>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9"/>
      <c r="AV457" s="1050"/>
      <c r="AW457" s="1051"/>
      <c r="AX457" s="1051"/>
      <c r="AY457" s="1051"/>
      <c r="AZ457" s="1051"/>
      <c r="BA457" s="1051"/>
      <c r="BB457" s="1051"/>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9"/>
      <c r="AV458" s="1050"/>
      <c r="AW458" s="1051"/>
      <c r="AX458" s="1051"/>
      <c r="AY458" s="1051"/>
      <c r="AZ458" s="1051"/>
      <c r="BA458" s="1051"/>
      <c r="BB458" s="1051"/>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9"/>
      <c r="AV459" s="1050"/>
      <c r="AW459" s="1051"/>
      <c r="AX459" s="1051"/>
      <c r="AY459" s="1051"/>
      <c r="AZ459" s="1051"/>
      <c r="BA459" s="1051"/>
      <c r="BB459" s="1051"/>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9"/>
      <c r="AV460" s="1050"/>
      <c r="AW460" s="1051"/>
      <c r="AX460" s="1051"/>
      <c r="AY460" s="1051"/>
      <c r="AZ460" s="1051"/>
      <c r="BA460" s="1051"/>
      <c r="BB460" s="1051"/>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9"/>
      <c r="AV461" s="1050"/>
      <c r="AW461" s="1051"/>
      <c r="AX461" s="1051"/>
      <c r="AY461" s="1051"/>
      <c r="AZ461" s="1051"/>
      <c r="BA461" s="1051"/>
      <c r="BB461" s="1051"/>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9"/>
      <c r="AV462" s="1050"/>
      <c r="AW462" s="1051"/>
      <c r="AX462" s="1051"/>
      <c r="AY462" s="1051"/>
      <c r="AZ462" s="1051"/>
      <c r="BA462" s="1051"/>
      <c r="BB462" s="1051"/>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9"/>
      <c r="AV463" s="1050"/>
      <c r="AW463" s="1051"/>
      <c r="AX463" s="1051"/>
      <c r="AY463" s="1051"/>
      <c r="AZ463" s="1051"/>
      <c r="BA463" s="1051"/>
      <c r="BB463" s="1051"/>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9"/>
      <c r="AV464" s="1050"/>
      <c r="AW464" s="1051"/>
      <c r="AX464" s="1051"/>
      <c r="AY464" s="1051"/>
      <c r="AZ464" s="1051"/>
      <c r="BA464" s="1051"/>
      <c r="BB464" s="1051"/>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9"/>
      <c r="AV465" s="1050"/>
      <c r="AW465" s="1051"/>
      <c r="AX465" s="1051"/>
      <c r="AY465" s="1051"/>
      <c r="AZ465" s="1051"/>
      <c r="BA465" s="1051"/>
      <c r="BB465" s="1051"/>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9"/>
      <c r="AV466" s="1050"/>
      <c r="AW466" s="1051"/>
      <c r="AX466" s="1051"/>
      <c r="AY466" s="1051"/>
      <c r="AZ466" s="1051"/>
      <c r="BA466" s="1051"/>
      <c r="BB466" s="1051"/>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9"/>
      <c r="AV467" s="1050"/>
      <c r="AW467" s="1051"/>
      <c r="AX467" s="1051"/>
      <c r="AY467" s="1051"/>
      <c r="AZ467" s="1051"/>
      <c r="BA467" s="1051"/>
      <c r="BB467" s="1051"/>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9"/>
      <c r="AV468" s="1050"/>
      <c r="AW468" s="1051"/>
      <c r="AX468" s="1051"/>
      <c r="AY468" s="1051"/>
      <c r="AZ468" s="1051"/>
      <c r="BA468" s="1051"/>
      <c r="BB468" s="1051"/>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9"/>
      <c r="AV469" s="1050"/>
      <c r="AW469" s="1051"/>
      <c r="AX469" s="1051"/>
      <c r="AY469" s="1051"/>
      <c r="AZ469" s="1051"/>
      <c r="BA469" s="1051"/>
      <c r="BB469" s="1051"/>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9"/>
      <c r="AV470" s="1050"/>
      <c r="AW470" s="1051"/>
      <c r="AX470" s="1051"/>
      <c r="AY470" s="1051"/>
      <c r="AZ470" s="1051"/>
      <c r="BA470" s="1051"/>
      <c r="BB470" s="1051"/>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9"/>
      <c r="AV471" s="1050"/>
      <c r="AW471" s="1051"/>
      <c r="AX471" s="1051"/>
      <c r="AY471" s="1051"/>
      <c r="AZ471" s="1051"/>
      <c r="BA471" s="1051"/>
      <c r="BB471" s="1051"/>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9"/>
      <c r="AV472" s="1050"/>
      <c r="AW472" s="1051"/>
      <c r="AX472" s="1051"/>
      <c r="AY472" s="1051"/>
      <c r="AZ472" s="1051"/>
      <c r="BA472" s="1051"/>
      <c r="BB472" s="1051"/>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9"/>
      <c r="AV473" s="1050"/>
      <c r="AW473" s="1051"/>
      <c r="AX473" s="1051"/>
      <c r="AY473" s="1051"/>
      <c r="AZ473" s="1051"/>
      <c r="BA473" s="1051"/>
      <c r="BB473" s="1051"/>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9"/>
      <c r="AV474" s="1050"/>
      <c r="AW474" s="1051"/>
      <c r="AX474" s="1051"/>
      <c r="AY474" s="1051"/>
      <c r="AZ474" s="1051"/>
      <c r="BA474" s="1051"/>
      <c r="BB474" s="1051"/>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9"/>
      <c r="AV475" s="1050"/>
      <c r="AW475" s="1051"/>
      <c r="AX475" s="1051"/>
      <c r="AY475" s="1051"/>
      <c r="AZ475" s="1051"/>
      <c r="BA475" s="1051"/>
      <c r="BB475" s="1051"/>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9"/>
      <c r="AV476" s="1050"/>
      <c r="AW476" s="1051"/>
      <c r="AX476" s="1051"/>
      <c r="AY476" s="1051"/>
      <c r="AZ476" s="1051"/>
      <c r="BA476" s="1051"/>
      <c r="BB476" s="1051"/>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9"/>
      <c r="AV477" s="1050"/>
      <c r="AW477" s="1051"/>
      <c r="AX477" s="1051"/>
      <c r="AY477" s="1051"/>
      <c r="AZ477" s="1051"/>
      <c r="BA477" s="1051"/>
      <c r="BB477" s="1051"/>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9"/>
      <c r="AV478" s="1050"/>
      <c r="AW478" s="1051"/>
      <c r="AX478" s="1051"/>
      <c r="AY478" s="1051"/>
      <c r="AZ478" s="1051"/>
      <c r="BA478" s="1051"/>
      <c r="BB478" s="1051"/>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9"/>
      <c r="AV479" s="1050"/>
      <c r="AW479" s="1051"/>
      <c r="AX479" s="1051"/>
      <c r="AY479" s="1051"/>
      <c r="AZ479" s="1051"/>
      <c r="BA479" s="1051"/>
      <c r="BB479" s="1051"/>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9"/>
      <c r="AV480" s="1050"/>
      <c r="AW480" s="1051"/>
      <c r="AX480" s="1051"/>
      <c r="AY480" s="1051"/>
      <c r="AZ480" s="1051"/>
      <c r="BA480" s="1051"/>
      <c r="BB480" s="1051"/>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9"/>
      <c r="AV481" s="1050"/>
      <c r="AW481" s="1051"/>
      <c r="AX481" s="1051"/>
      <c r="AY481" s="1051"/>
      <c r="AZ481" s="1051"/>
      <c r="BA481" s="1051"/>
      <c r="BB481" s="1051"/>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9"/>
      <c r="AV482" s="1050"/>
      <c r="AW482" s="1051"/>
      <c r="AX482" s="1051"/>
      <c r="AY482" s="1051"/>
      <c r="AZ482" s="1051"/>
      <c r="BA482" s="1051"/>
      <c r="BB482" s="1051"/>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9"/>
      <c r="AV483" s="1050"/>
      <c r="AW483" s="1051"/>
      <c r="AX483" s="1051"/>
      <c r="AY483" s="1051"/>
      <c r="AZ483" s="1051"/>
      <c r="BA483" s="1051"/>
      <c r="BB483" s="1051"/>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9"/>
      <c r="AV484" s="1050"/>
      <c r="AW484" s="1051"/>
      <c r="AX484" s="1051"/>
      <c r="AY484" s="1051"/>
      <c r="AZ484" s="1051"/>
      <c r="BA484" s="1051"/>
      <c r="BB484" s="1051"/>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9"/>
      <c r="AV485" s="1050"/>
      <c r="AW485" s="1051"/>
      <c r="AX485" s="1051"/>
      <c r="AY485" s="1051"/>
      <c r="AZ485" s="1051"/>
      <c r="BA485" s="1051"/>
      <c r="BB485" s="1051"/>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9"/>
      <c r="AV486" s="1050"/>
      <c r="AW486" s="1051"/>
      <c r="AX486" s="1051"/>
      <c r="AY486" s="1051"/>
      <c r="AZ486" s="1051"/>
      <c r="BA486" s="1051"/>
      <c r="BB486" s="1051"/>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9"/>
      <c r="AV487" s="1050"/>
      <c r="AW487" s="1051"/>
      <c r="AX487" s="1051"/>
      <c r="AY487" s="1051"/>
      <c r="AZ487" s="1051"/>
      <c r="BA487" s="1051"/>
      <c r="BB487" s="1051"/>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9"/>
      <c r="AV488" s="1050"/>
      <c r="AW488" s="1051"/>
      <c r="AX488" s="1051"/>
      <c r="AY488" s="1051"/>
      <c r="AZ488" s="1051"/>
      <c r="BA488" s="1051"/>
      <c r="BB488" s="1051"/>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9"/>
      <c r="AV489" s="1050"/>
      <c r="AW489" s="1051"/>
      <c r="AX489" s="1051"/>
      <c r="AY489" s="1051"/>
      <c r="AZ489" s="1051"/>
      <c r="BA489" s="1051"/>
      <c r="BB489" s="1051"/>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9"/>
      <c r="AV490" s="1050"/>
      <c r="AW490" s="1051"/>
      <c r="AX490" s="1051"/>
      <c r="AY490" s="1051"/>
      <c r="AZ490" s="1051"/>
      <c r="BA490" s="1051"/>
      <c r="BB490" s="1051"/>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9"/>
      <c r="AV491" s="1050"/>
      <c r="AW491" s="1051"/>
      <c r="AX491" s="1051"/>
      <c r="AY491" s="1051"/>
      <c r="AZ491" s="1051"/>
      <c r="BA491" s="1051"/>
      <c r="BB491" s="1051"/>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9"/>
      <c r="AV492" s="1050"/>
      <c r="AW492" s="1051"/>
      <c r="AX492" s="1051"/>
      <c r="AY492" s="1051"/>
      <c r="AZ492" s="1051"/>
      <c r="BA492" s="1051"/>
      <c r="BB492" s="1051"/>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9"/>
      <c r="AV493" s="1050"/>
      <c r="AW493" s="1051"/>
      <c r="AX493" s="1051"/>
      <c r="AY493" s="1051"/>
      <c r="AZ493" s="1051"/>
      <c r="BA493" s="1051"/>
      <c r="BB493" s="1051"/>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9"/>
      <c r="AV494" s="1050"/>
      <c r="AW494" s="1051"/>
      <c r="AX494" s="1051"/>
      <c r="AY494" s="1051"/>
      <c r="AZ494" s="1051"/>
      <c r="BA494" s="1051"/>
      <c r="BB494" s="1051"/>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9"/>
      <c r="AV495" s="1050"/>
      <c r="AW495" s="1051"/>
      <c r="AX495" s="1051"/>
      <c r="AY495" s="1051"/>
      <c r="AZ495" s="1051"/>
      <c r="BA495" s="1051"/>
      <c r="BB495" s="1051"/>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9"/>
      <c r="AV496" s="1050"/>
      <c r="AW496" s="1051"/>
      <c r="AX496" s="1051"/>
      <c r="AY496" s="1051"/>
      <c r="AZ496" s="1051"/>
      <c r="BA496" s="1051"/>
      <c r="BB496" s="1051"/>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9"/>
      <c r="AV497" s="1050"/>
      <c r="AW497" s="1051"/>
      <c r="AX497" s="1051"/>
      <c r="AY497" s="1051"/>
      <c r="AZ497" s="1051"/>
      <c r="BA497" s="1051"/>
      <c r="BB497" s="1051"/>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9"/>
      <c r="AV498" s="1050"/>
      <c r="AW498" s="1051"/>
      <c r="AX498" s="1051"/>
      <c r="AY498" s="1051"/>
      <c r="AZ498" s="1051"/>
      <c r="BA498" s="1051"/>
      <c r="BB498" s="1051"/>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9"/>
      <c r="AV499" s="1050"/>
      <c r="AW499" s="1051"/>
      <c r="AX499" s="1051"/>
      <c r="AY499" s="1051"/>
      <c r="AZ499" s="1051"/>
      <c r="BA499" s="1051"/>
      <c r="BB499" s="1051"/>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9"/>
      <c r="AV500" s="1050"/>
      <c r="AW500" s="1051"/>
      <c r="AX500" s="1051"/>
      <c r="AY500" s="1051"/>
      <c r="AZ500" s="1051"/>
      <c r="BA500" s="1051"/>
      <c r="BB500" s="1051"/>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9"/>
      <c r="AV501" s="1050"/>
      <c r="AW501" s="1051"/>
      <c r="AX501" s="1051"/>
      <c r="AY501" s="1051"/>
      <c r="AZ501" s="1051"/>
      <c r="BA501" s="1051"/>
      <c r="BB501" s="1051"/>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9"/>
      <c r="AV502" s="1050"/>
      <c r="AW502" s="1051"/>
      <c r="AX502" s="1051"/>
      <c r="AY502" s="1051"/>
      <c r="AZ502" s="1051"/>
      <c r="BA502" s="1051"/>
      <c r="BB502" s="1051"/>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9"/>
      <c r="AV503" s="1050"/>
      <c r="AW503" s="1051"/>
      <c r="AX503" s="1051"/>
      <c r="AY503" s="1051"/>
      <c r="AZ503" s="1051"/>
      <c r="BA503" s="1051"/>
      <c r="BB503" s="1051"/>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9"/>
      <c r="AV504" s="1050"/>
      <c r="AW504" s="1051"/>
      <c r="AX504" s="1051"/>
      <c r="AY504" s="1051"/>
      <c r="AZ504" s="1051"/>
      <c r="BA504" s="1051"/>
      <c r="BB504" s="1051"/>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9"/>
      <c r="AV505" s="1050"/>
      <c r="AW505" s="1051"/>
      <c r="AX505" s="1051"/>
      <c r="AY505" s="1051"/>
      <c r="AZ505" s="1051"/>
      <c r="BA505" s="1051"/>
      <c r="BB505" s="1051"/>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9"/>
      <c r="AV506" s="1050"/>
      <c r="AW506" s="1051"/>
      <c r="AX506" s="1051"/>
      <c r="AY506" s="1051"/>
      <c r="AZ506" s="1051"/>
      <c r="BA506" s="1051"/>
      <c r="BB506" s="1051"/>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9"/>
      <c r="AV507" s="1050"/>
      <c r="AW507" s="1051"/>
      <c r="AX507" s="1051"/>
      <c r="AY507" s="1051"/>
      <c r="AZ507" s="1051"/>
      <c r="BA507" s="1051"/>
      <c r="BB507" s="1051"/>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9"/>
      <c r="AV508" s="1050"/>
      <c r="AW508" s="1051"/>
      <c r="AX508" s="1051"/>
      <c r="AY508" s="1051"/>
      <c r="AZ508" s="1051"/>
      <c r="BA508" s="1051"/>
      <c r="BB508" s="1051"/>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9"/>
      <c r="AV509" s="1050"/>
      <c r="AW509" s="1051"/>
      <c r="AX509" s="1051"/>
      <c r="AY509" s="1051"/>
      <c r="AZ509" s="1051"/>
      <c r="BA509" s="1051"/>
      <c r="BB509" s="1051"/>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9"/>
      <c r="AV510" s="1050"/>
      <c r="AW510" s="1051"/>
      <c r="AX510" s="1051"/>
      <c r="AY510" s="1051"/>
      <c r="AZ510" s="1051"/>
      <c r="BA510" s="1051"/>
      <c r="BB510" s="1051"/>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9"/>
      <c r="AV511" s="1050"/>
      <c r="AW511" s="1051"/>
      <c r="AX511" s="1051"/>
      <c r="AY511" s="1051"/>
      <c r="AZ511" s="1051"/>
      <c r="BA511" s="1051"/>
      <c r="BB511" s="1051"/>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9"/>
      <c r="AV512" s="1050"/>
      <c r="AW512" s="1051"/>
      <c r="AX512" s="1051"/>
      <c r="AY512" s="1051"/>
      <c r="AZ512" s="1051"/>
      <c r="BA512" s="1051"/>
      <c r="BB512" s="1051"/>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9"/>
      <c r="AV513" s="1050"/>
      <c r="AW513" s="1051"/>
      <c r="AX513" s="1051"/>
      <c r="AY513" s="1051"/>
      <c r="AZ513" s="1051"/>
      <c r="BA513" s="1051"/>
      <c r="BB513" s="1051"/>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9"/>
      <c r="AV514" s="1050"/>
      <c r="AW514" s="1051"/>
      <c r="AX514" s="1051"/>
      <c r="AY514" s="1051"/>
      <c r="AZ514" s="1051"/>
      <c r="BA514" s="1051"/>
      <c r="BB514" s="1051"/>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9"/>
      <c r="AV515" s="1050"/>
      <c r="AW515" s="1051"/>
      <c r="AX515" s="1051"/>
      <c r="AY515" s="1051"/>
      <c r="AZ515" s="1051"/>
      <c r="BA515" s="1051"/>
      <c r="BB515" s="1051"/>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9"/>
      <c r="AV516" s="1050"/>
      <c r="AW516" s="1051"/>
      <c r="AX516" s="1051"/>
      <c r="AY516" s="1051"/>
      <c r="AZ516" s="1051"/>
      <c r="BA516" s="1051"/>
      <c r="BB516" s="1051"/>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9"/>
      <c r="AV517" s="1050"/>
      <c r="AW517" s="1051"/>
      <c r="AX517" s="1051"/>
      <c r="AY517" s="1051"/>
      <c r="AZ517" s="1051"/>
      <c r="BA517" s="1051"/>
      <c r="BB517" s="1051"/>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9"/>
      <c r="AV518" s="1050"/>
      <c r="AW518" s="1051"/>
      <c r="AX518" s="1051"/>
      <c r="AY518" s="1051"/>
      <c r="AZ518" s="1051"/>
      <c r="BA518" s="1051"/>
      <c r="BB518" s="1051"/>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9"/>
      <c r="AV519" s="1050"/>
      <c r="AW519" s="1051"/>
      <c r="AX519" s="1051"/>
      <c r="AY519" s="1051"/>
      <c r="AZ519" s="1051"/>
      <c r="BA519" s="1051"/>
      <c r="BB519" s="1051"/>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9"/>
      <c r="AV520" s="1050"/>
      <c r="AW520" s="1051"/>
      <c r="AX520" s="1051"/>
      <c r="AY520" s="1051"/>
      <c r="AZ520" s="1051"/>
      <c r="BA520" s="1051"/>
      <c r="BB520" s="1051"/>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9"/>
      <c r="AV521" s="1050"/>
      <c r="AW521" s="1051"/>
      <c r="AX521" s="1051"/>
      <c r="AY521" s="1051"/>
      <c r="AZ521" s="1051"/>
      <c r="BA521" s="1051"/>
      <c r="BB521" s="1051"/>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9"/>
      <c r="AV522" s="1050"/>
      <c r="AW522" s="1051"/>
      <c r="AX522" s="1051"/>
      <c r="AY522" s="1051"/>
      <c r="AZ522" s="1051"/>
      <c r="BA522" s="1051"/>
      <c r="BB522" s="1051"/>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9"/>
      <c r="AV523" s="1050"/>
      <c r="AW523" s="1051"/>
      <c r="AX523" s="1051"/>
      <c r="AY523" s="1051"/>
      <c r="AZ523" s="1051"/>
      <c r="BA523" s="1051"/>
      <c r="BB523" s="1051"/>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9"/>
      <c r="AV524" s="1050"/>
      <c r="AW524" s="1051"/>
      <c r="AX524" s="1051"/>
      <c r="AY524" s="1051"/>
      <c r="AZ524" s="1051"/>
      <c r="BA524" s="1051"/>
      <c r="BB524" s="1051"/>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9"/>
      <c r="AV525" s="1050"/>
      <c r="AW525" s="1051"/>
      <c r="AX525" s="1051"/>
      <c r="AY525" s="1051"/>
      <c r="AZ525" s="1051"/>
      <c r="BA525" s="1051"/>
      <c r="BB525" s="1051"/>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9"/>
      <c r="AV526" s="1050"/>
      <c r="AW526" s="1051"/>
      <c r="AX526" s="1051"/>
      <c r="AY526" s="1051"/>
      <c r="AZ526" s="1051"/>
      <c r="BA526" s="1051"/>
      <c r="BB526" s="1051"/>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9"/>
      <c r="AV527" s="1050"/>
      <c r="AW527" s="1051"/>
      <c r="AX527" s="1051"/>
      <c r="AY527" s="1051"/>
      <c r="AZ527" s="1051"/>
      <c r="BA527" s="1051"/>
      <c r="BB527" s="1051"/>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9"/>
      <c r="AV528" s="1050"/>
      <c r="AW528" s="1051"/>
      <c r="AX528" s="1051"/>
      <c r="AY528" s="1051"/>
      <c r="AZ528" s="1051"/>
      <c r="BA528" s="1051"/>
      <c r="BB528" s="1051"/>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9"/>
      <c r="AV529" s="1050"/>
      <c r="AW529" s="1051"/>
      <c r="AX529" s="1051"/>
      <c r="AY529" s="1051"/>
      <c r="AZ529" s="1051"/>
      <c r="BA529" s="1051"/>
      <c r="BB529" s="1051"/>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9"/>
      <c r="AV530" s="1050"/>
      <c r="AW530" s="1051"/>
      <c r="AX530" s="1051"/>
      <c r="AY530" s="1051"/>
      <c r="AZ530" s="1051"/>
      <c r="BA530" s="1051"/>
      <c r="BB530" s="1051"/>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9"/>
      <c r="AV531" s="1050"/>
      <c r="AW531" s="1051"/>
      <c r="AX531" s="1051"/>
      <c r="AY531" s="1051"/>
      <c r="AZ531" s="1051"/>
      <c r="BA531" s="1051"/>
      <c r="BB531" s="1051"/>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9"/>
      <c r="AV532" s="1050"/>
      <c r="AW532" s="1051"/>
      <c r="AX532" s="1051"/>
      <c r="AY532" s="1051"/>
      <c r="AZ532" s="1051"/>
      <c r="BA532" s="1051"/>
      <c r="BB532" s="1051"/>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9"/>
      <c r="AV533" s="1050"/>
      <c r="AW533" s="1051"/>
      <c r="AX533" s="1051"/>
      <c r="AY533" s="1051"/>
      <c r="AZ533" s="1051"/>
      <c r="BA533" s="1051"/>
      <c r="BB533" s="1051"/>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9"/>
      <c r="AV534" s="1050"/>
      <c r="AW534" s="1051"/>
      <c r="AX534" s="1051"/>
      <c r="AY534" s="1051"/>
      <c r="AZ534" s="1051"/>
      <c r="BA534" s="1051"/>
      <c r="BB534" s="1051"/>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9"/>
      <c r="AV535" s="1050"/>
      <c r="AW535" s="1051"/>
      <c r="AX535" s="1051"/>
      <c r="AY535" s="1051"/>
      <c r="AZ535" s="1051"/>
      <c r="BA535" s="1051"/>
      <c r="BB535" s="1051"/>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9"/>
      <c r="AV536" s="1050"/>
      <c r="AW536" s="1051"/>
      <c r="AX536" s="1051"/>
      <c r="AY536" s="1051"/>
      <c r="AZ536" s="1051"/>
      <c r="BA536" s="1051"/>
      <c r="BB536" s="1051"/>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9"/>
      <c r="AV537" s="1050"/>
      <c r="AW537" s="1051"/>
      <c r="AX537" s="1051"/>
      <c r="AY537" s="1051"/>
      <c r="AZ537" s="1051"/>
      <c r="BA537" s="1051"/>
      <c r="BB537" s="1051"/>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9"/>
      <c r="AV538" s="1050"/>
      <c r="AW538" s="1051"/>
      <c r="AX538" s="1051"/>
      <c r="AY538" s="1051"/>
      <c r="AZ538" s="1051"/>
      <c r="BA538" s="1051"/>
      <c r="BB538" s="1051"/>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9"/>
      <c r="AV539" s="1050"/>
      <c r="AW539" s="1051"/>
      <c r="AX539" s="1051"/>
      <c r="AY539" s="1051"/>
      <c r="AZ539" s="1051"/>
      <c r="BA539" s="1051"/>
      <c r="BB539" s="1051"/>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9"/>
      <c r="AV540" s="1050"/>
      <c r="AW540" s="1051"/>
      <c r="AX540" s="1051"/>
      <c r="AY540" s="1051"/>
      <c r="AZ540" s="1051"/>
      <c r="BA540" s="1051"/>
      <c r="BB540" s="1051"/>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9"/>
      <c r="AV541" s="1050"/>
      <c r="AW541" s="1051"/>
      <c r="AX541" s="1051"/>
      <c r="AY541" s="1051"/>
      <c r="AZ541" s="1051"/>
      <c r="BA541" s="1051"/>
      <c r="BB541" s="1051"/>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9"/>
      <c r="AV542" s="1050"/>
      <c r="AW542" s="1051"/>
      <c r="AX542" s="1051"/>
      <c r="AY542" s="1051"/>
      <c r="AZ542" s="1051"/>
      <c r="BA542" s="1051"/>
      <c r="BB542" s="1051"/>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9"/>
      <c r="AV543" s="1050"/>
      <c r="AW543" s="1051"/>
      <c r="AX543" s="1051"/>
      <c r="AY543" s="1051"/>
      <c r="AZ543" s="1051"/>
      <c r="BA543" s="1051"/>
      <c r="BB543" s="1051"/>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9"/>
      <c r="AV544" s="1050"/>
      <c r="AW544" s="1051"/>
      <c r="AX544" s="1051"/>
      <c r="AY544" s="1051"/>
      <c r="AZ544" s="1051"/>
      <c r="BA544" s="1051"/>
      <c r="BB544" s="1051"/>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9"/>
      <c r="AV545" s="1050"/>
      <c r="AW545" s="1051"/>
      <c r="AX545" s="1051"/>
      <c r="AY545" s="1051"/>
      <c r="AZ545" s="1051"/>
      <c r="BA545" s="1051"/>
      <c r="BB545" s="1051"/>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9"/>
      <c r="AV546" s="1050"/>
      <c r="AW546" s="1051"/>
      <c r="AX546" s="1051"/>
      <c r="AY546" s="1051"/>
      <c r="AZ546" s="1051"/>
      <c r="BA546" s="1051"/>
      <c r="BB546" s="1051"/>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9"/>
      <c r="AV547" s="1050"/>
      <c r="AW547" s="1051"/>
      <c r="AX547" s="1051"/>
      <c r="AY547" s="1051"/>
      <c r="AZ547" s="1051"/>
      <c r="BA547" s="1051"/>
      <c r="BB547" s="1051"/>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9"/>
      <c r="AV548" s="1050"/>
      <c r="AW548" s="1051"/>
      <c r="AX548" s="1051"/>
      <c r="AY548" s="1051"/>
      <c r="AZ548" s="1051"/>
      <c r="BA548" s="1051"/>
      <c r="BB548" s="1051"/>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9"/>
      <c r="AV549" s="1050"/>
      <c r="AW549" s="1051"/>
      <c r="AX549" s="1051"/>
      <c r="AY549" s="1051"/>
      <c r="AZ549" s="1051"/>
      <c r="BA549" s="1051"/>
      <c r="BB549" s="1051"/>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9"/>
      <c r="AV550" s="1050"/>
      <c r="AW550" s="1051"/>
      <c r="AX550" s="1051"/>
      <c r="AY550" s="1051"/>
      <c r="AZ550" s="1051"/>
      <c r="BA550" s="1051"/>
      <c r="BB550" s="1051"/>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9"/>
      <c r="AV551" s="1050"/>
      <c r="AW551" s="1051"/>
      <c r="AX551" s="1051"/>
      <c r="AY551" s="1051"/>
      <c r="AZ551" s="1051"/>
      <c r="BA551" s="1051"/>
      <c r="BB551" s="1051"/>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9"/>
      <c r="AV552" s="1050"/>
      <c r="AW552" s="1051"/>
      <c r="AX552" s="1051"/>
      <c r="AY552" s="1051"/>
      <c r="AZ552" s="1051"/>
      <c r="BA552" s="1051"/>
      <c r="BB552" s="1051"/>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9"/>
      <c r="AV553" s="1050"/>
      <c r="AW553" s="1051"/>
      <c r="AX553" s="1051"/>
      <c r="AY553" s="1051"/>
      <c r="AZ553" s="1051"/>
      <c r="BA553" s="1051"/>
      <c r="BB553" s="1051"/>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9"/>
      <c r="AV554" s="1050"/>
      <c r="AW554" s="1051"/>
      <c r="AX554" s="1051"/>
      <c r="AY554" s="1051"/>
      <c r="AZ554" s="1051"/>
      <c r="BA554" s="1051"/>
      <c r="BB554" s="1051"/>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9"/>
      <c r="AV555" s="1050"/>
      <c r="AW555" s="1051"/>
      <c r="AX555" s="1051"/>
      <c r="AY555" s="1051"/>
      <c r="AZ555" s="1051"/>
      <c r="BA555" s="1051"/>
      <c r="BB555" s="1051"/>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9"/>
      <c r="AV556" s="1050"/>
      <c r="AW556" s="1051"/>
      <c r="AX556" s="1051"/>
      <c r="AY556" s="1051"/>
      <c r="AZ556" s="1051"/>
      <c r="BA556" s="1051"/>
      <c r="BB556" s="1051"/>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9"/>
      <c r="AV557" s="1050"/>
      <c r="AW557" s="1051"/>
      <c r="AX557" s="1051"/>
      <c r="AY557" s="1051"/>
      <c r="AZ557" s="1051"/>
      <c r="BA557" s="1051"/>
      <c r="BB557" s="1051"/>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9"/>
      <c r="AV558" s="1050"/>
      <c r="AW558" s="1051"/>
      <c r="AX558" s="1051"/>
      <c r="AY558" s="1051"/>
      <c r="AZ558" s="1051"/>
      <c r="BA558" s="1051"/>
      <c r="BB558" s="1051"/>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9"/>
      <c r="AV559" s="1050"/>
      <c r="AW559" s="1051"/>
      <c r="AX559" s="1051"/>
      <c r="AY559" s="1051"/>
      <c r="AZ559" s="1051"/>
      <c r="BA559" s="1051"/>
      <c r="BB559" s="1051"/>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9"/>
      <c r="AV560" s="1050"/>
      <c r="AW560" s="1051"/>
      <c r="AX560" s="1051"/>
      <c r="AY560" s="1051"/>
      <c r="AZ560" s="1051"/>
      <c r="BA560" s="1051"/>
      <c r="BB560" s="1051"/>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9"/>
      <c r="AV561" s="1050"/>
      <c r="AW561" s="1051"/>
      <c r="AX561" s="1051"/>
      <c r="AY561" s="1051"/>
      <c r="AZ561" s="1051"/>
      <c r="BA561" s="1051"/>
      <c r="BB561" s="1051"/>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9"/>
      <c r="AV562" s="1050"/>
      <c r="AW562" s="1051"/>
      <c r="AX562" s="1051"/>
      <c r="AY562" s="1051"/>
      <c r="AZ562" s="1051"/>
      <c r="BA562" s="1051"/>
      <c r="BB562" s="1051"/>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9"/>
      <c r="AV563" s="1050"/>
      <c r="AW563" s="1051"/>
      <c r="AX563" s="1051"/>
      <c r="AY563" s="1051"/>
      <c r="AZ563" s="1051"/>
      <c r="BA563" s="1051"/>
      <c r="BB563" s="1051"/>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9"/>
      <c r="AV564" s="1050"/>
      <c r="AW564" s="1051"/>
      <c r="AX564" s="1051"/>
      <c r="AY564" s="1051"/>
      <c r="AZ564" s="1051"/>
      <c r="BA564" s="1051"/>
      <c r="BB564" s="1051"/>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9"/>
      <c r="AV565" s="1050"/>
      <c r="AW565" s="1051"/>
      <c r="AX565" s="1051"/>
      <c r="AY565" s="1051"/>
      <c r="AZ565" s="1051"/>
      <c r="BA565" s="1051"/>
      <c r="BB565" s="1051"/>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9"/>
      <c r="AV566" s="1050"/>
      <c r="AW566" s="1051"/>
      <c r="AX566" s="1051"/>
      <c r="AY566" s="1051"/>
      <c r="AZ566" s="1051"/>
      <c r="BA566" s="1051"/>
      <c r="BB566" s="1051"/>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9"/>
      <c r="AV567" s="1050"/>
      <c r="AW567" s="1051"/>
      <c r="AX567" s="1051"/>
      <c r="AY567" s="1051"/>
      <c r="AZ567" s="1051"/>
      <c r="BA567" s="1051"/>
      <c r="BB567" s="1051"/>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9"/>
      <c r="AV568" s="1050"/>
      <c r="AW568" s="1051"/>
      <c r="AX568" s="1051"/>
      <c r="AY568" s="1051"/>
      <c r="AZ568" s="1051"/>
      <c r="BA568" s="1051"/>
      <c r="BB568" s="1051"/>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9"/>
      <c r="AV569" s="1050"/>
      <c r="AW569" s="1051"/>
      <c r="AX569" s="1051"/>
      <c r="AY569" s="1051"/>
      <c r="AZ569" s="1051"/>
      <c r="BA569" s="1051"/>
      <c r="BB569" s="1051"/>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9"/>
      <c r="AV570" s="1050"/>
      <c r="AW570" s="1051"/>
      <c r="AX570" s="1051"/>
      <c r="AY570" s="1051"/>
      <c r="AZ570" s="1051"/>
      <c r="BA570" s="1051"/>
      <c r="BB570" s="1051"/>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9"/>
      <c r="AV571" s="1050"/>
      <c r="AW571" s="1051"/>
      <c r="AX571" s="1051"/>
      <c r="AY571" s="1051"/>
      <c r="AZ571" s="1051"/>
      <c r="BA571" s="1051"/>
      <c r="BB571" s="1051"/>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9"/>
      <c r="AV572" s="1050"/>
      <c r="AW572" s="1051"/>
      <c r="AX572" s="1051"/>
      <c r="AY572" s="1051"/>
      <c r="AZ572" s="1051"/>
      <c r="BA572" s="1051"/>
      <c r="BB572" s="1051"/>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9"/>
      <c r="AV573" s="1050"/>
      <c r="AW573" s="1051"/>
      <c r="AX573" s="1051"/>
      <c r="AY573" s="1051"/>
      <c r="AZ573" s="1051"/>
      <c r="BA573" s="1051"/>
      <c r="BB573" s="1051"/>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9"/>
      <c r="AV574" s="1050"/>
      <c r="AW574" s="1051"/>
      <c r="AX574" s="1051"/>
      <c r="AY574" s="1051"/>
      <c r="AZ574" s="1051"/>
      <c r="BA574" s="1051"/>
      <c r="BB574" s="1051"/>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9"/>
      <c r="AV575" s="1050"/>
      <c r="AW575" s="1051"/>
      <c r="AX575" s="1051"/>
      <c r="AY575" s="1051"/>
      <c r="AZ575" s="1051"/>
      <c r="BA575" s="1051"/>
      <c r="BB575" s="1051"/>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9"/>
      <c r="AV576" s="1050"/>
      <c r="AW576" s="1051"/>
      <c r="AX576" s="1051"/>
      <c r="AY576" s="1051"/>
      <c r="AZ576" s="1051"/>
      <c r="BA576" s="1051"/>
      <c r="BB576" s="1051"/>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9"/>
      <c r="AV577" s="1050"/>
      <c r="AW577" s="1051"/>
      <c r="AX577" s="1051"/>
      <c r="AY577" s="1051"/>
      <c r="AZ577" s="1051"/>
      <c r="BA577" s="1051"/>
      <c r="BB577" s="1051"/>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9"/>
      <c r="AV578" s="1050"/>
      <c r="AW578" s="1051"/>
      <c r="AX578" s="1051"/>
      <c r="AY578" s="1051"/>
      <c r="AZ578" s="1051"/>
      <c r="BA578" s="1051"/>
      <c r="BB578" s="1051"/>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9"/>
      <c r="AV579" s="1050"/>
      <c r="AW579" s="1051"/>
      <c r="AX579" s="1051"/>
      <c r="AY579" s="1051"/>
      <c r="AZ579" s="1051"/>
      <c r="BA579" s="1051"/>
      <c r="BB579" s="1051"/>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9"/>
      <c r="AV580" s="1050"/>
      <c r="AW580" s="1051"/>
      <c r="AX580" s="1051"/>
      <c r="AY580" s="1051"/>
      <c r="AZ580" s="1051"/>
      <c r="BA580" s="1051"/>
      <c r="BB580" s="1051"/>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9"/>
      <c r="AV581" s="1050"/>
      <c r="AW581" s="1051"/>
      <c r="AX581" s="1051"/>
      <c r="AY581" s="1051"/>
      <c r="AZ581" s="1051"/>
      <c r="BA581" s="1051"/>
      <c r="BB581" s="1051"/>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9"/>
      <c r="AV582" s="1050"/>
      <c r="AW582" s="1051"/>
      <c r="AX582" s="1051"/>
      <c r="AY582" s="1051"/>
      <c r="AZ582" s="1051"/>
      <c r="BA582" s="1051"/>
      <c r="BB582" s="1051"/>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9"/>
      <c r="AV583" s="1050"/>
      <c r="AW583" s="1051"/>
      <c r="AX583" s="1051"/>
      <c r="AY583" s="1051"/>
      <c r="AZ583" s="1051"/>
      <c r="BA583" s="1051"/>
      <c r="BB583" s="1051"/>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9"/>
      <c r="AV584" s="1050"/>
      <c r="AW584" s="1051"/>
      <c r="AX584" s="1051"/>
      <c r="AY584" s="1051"/>
      <c r="AZ584" s="1051"/>
      <c r="BA584" s="1051"/>
      <c r="BB584" s="1051"/>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9"/>
      <c r="AV585" s="1050"/>
      <c r="AW585" s="1051"/>
      <c r="AX585" s="1051"/>
      <c r="AY585" s="1051"/>
      <c r="AZ585" s="1051"/>
      <c r="BA585" s="1051"/>
      <c r="BB585" s="1051"/>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9"/>
      <c r="AV586" s="1050"/>
      <c r="AW586" s="1051"/>
      <c r="AX586" s="1051"/>
      <c r="AY586" s="1051"/>
      <c r="AZ586" s="1051"/>
      <c r="BA586" s="1051"/>
      <c r="BB586" s="1051"/>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9"/>
      <c r="AV587" s="1050"/>
      <c r="AW587" s="1051"/>
      <c r="AX587" s="1051"/>
      <c r="AY587" s="1051"/>
      <c r="AZ587" s="1051"/>
      <c r="BA587" s="1051"/>
      <c r="BB587" s="1051"/>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9"/>
      <c r="AV588" s="1050"/>
      <c r="AW588" s="1051"/>
      <c r="AX588" s="1051"/>
      <c r="AY588" s="1051"/>
      <c r="AZ588" s="1051"/>
      <c r="BA588" s="1051"/>
      <c r="BB588" s="1051"/>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9"/>
      <c r="AV589" s="1050"/>
      <c r="AW589" s="1051"/>
      <c r="AX589" s="1051"/>
      <c r="AY589" s="1051"/>
      <c r="AZ589" s="1051"/>
      <c r="BA589" s="1051"/>
      <c r="BB589" s="1051"/>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9"/>
      <c r="AV590" s="1050"/>
      <c r="AW590" s="1051"/>
      <c r="AX590" s="1051"/>
      <c r="AY590" s="1051"/>
      <c r="AZ590" s="1051"/>
      <c r="BA590" s="1051"/>
      <c r="BB590" s="1051"/>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9"/>
      <c r="AV591" s="1050"/>
      <c r="AW591" s="1051"/>
      <c r="AX591" s="1051"/>
      <c r="AY591" s="1051"/>
      <c r="AZ591" s="1051"/>
      <c r="BA591" s="1051"/>
      <c r="BB591" s="1051"/>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9"/>
      <c r="AV592" s="1050"/>
      <c r="AW592" s="1051"/>
      <c r="AX592" s="1051"/>
      <c r="AY592" s="1051"/>
      <c r="AZ592" s="1051"/>
      <c r="BA592" s="1051"/>
      <c r="BB592" s="1051"/>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9"/>
      <c r="AV593" s="1050"/>
      <c r="AW593" s="1051"/>
      <c r="AX593" s="1051"/>
      <c r="AY593" s="1051"/>
      <c r="AZ593" s="1051"/>
      <c r="BA593" s="1051"/>
      <c r="BB593" s="1051"/>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9"/>
      <c r="AV594" s="1050"/>
      <c r="AW594" s="1051"/>
      <c r="AX594" s="1051"/>
      <c r="AY594" s="1051"/>
      <c r="AZ594" s="1051"/>
      <c r="BA594" s="1051"/>
      <c r="BB594" s="1051"/>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9"/>
      <c r="AV595" s="1050"/>
      <c r="AW595" s="1051"/>
      <c r="AX595" s="1051"/>
      <c r="AY595" s="1051"/>
      <c r="AZ595" s="1051"/>
      <c r="BA595" s="1051"/>
      <c r="BB595" s="1051"/>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9"/>
      <c r="AV596" s="1050"/>
      <c r="AW596" s="1051"/>
      <c r="AX596" s="1051"/>
      <c r="AY596" s="1051"/>
      <c r="AZ596" s="1051"/>
      <c r="BA596" s="1051"/>
      <c r="BB596" s="1051"/>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9"/>
      <c r="AV597" s="1050"/>
      <c r="AW597" s="1051"/>
      <c r="AX597" s="1051"/>
      <c r="AY597" s="1051"/>
      <c r="AZ597" s="1051"/>
      <c r="BA597" s="1051"/>
      <c r="BB597" s="1051"/>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9"/>
      <c r="AV598" s="1050"/>
      <c r="AW598" s="1051"/>
      <c r="AX598" s="1051"/>
      <c r="AY598" s="1051"/>
      <c r="AZ598" s="1051"/>
      <c r="BA598" s="1051"/>
      <c r="BB598" s="1051"/>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9"/>
      <c r="AV599" s="1050"/>
      <c r="AW599" s="1051"/>
      <c r="AX599" s="1051"/>
      <c r="AY599" s="1051"/>
      <c r="AZ599" s="1051"/>
      <c r="BA599" s="1051"/>
      <c r="BB599" s="1051"/>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9"/>
      <c r="AV600" s="1050"/>
      <c r="AW600" s="1051"/>
      <c r="AX600" s="1051"/>
      <c r="AY600" s="1051"/>
      <c r="AZ600" s="1051"/>
      <c r="BA600" s="1051"/>
      <c r="BB600" s="1051"/>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9"/>
      <c r="AV601" s="1050"/>
      <c r="AW601" s="1051"/>
      <c r="AX601" s="1051"/>
      <c r="AY601" s="1051"/>
      <c r="AZ601" s="1051"/>
      <c r="BA601" s="1051"/>
      <c r="BB601" s="1051"/>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9"/>
      <c r="AV602" s="1050"/>
      <c r="AW602" s="1051"/>
      <c r="AX602" s="1051"/>
      <c r="AY602" s="1051"/>
      <c r="AZ602" s="1051"/>
      <c r="BA602" s="1051"/>
      <c r="BB602" s="1051"/>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9"/>
      <c r="AV603" s="1050"/>
      <c r="AW603" s="1051"/>
      <c r="AX603" s="1051"/>
      <c r="AY603" s="1051"/>
      <c r="AZ603" s="1051"/>
      <c r="BA603" s="1051"/>
      <c r="BB603" s="1051"/>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9"/>
      <c r="AV604" s="1050"/>
      <c r="AW604" s="1051"/>
      <c r="AX604" s="1051"/>
      <c r="AY604" s="1051"/>
      <c r="AZ604" s="1051"/>
      <c r="BA604" s="1051"/>
      <c r="BB604" s="1051"/>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9"/>
      <c r="AV605" s="1050"/>
      <c r="AW605" s="1051"/>
      <c r="AX605" s="1051"/>
      <c r="AY605" s="1051"/>
      <c r="AZ605" s="1051"/>
      <c r="BA605" s="1051"/>
      <c r="BB605" s="1051"/>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9"/>
      <c r="AV606" s="1050"/>
      <c r="AW606" s="1051"/>
      <c r="AX606" s="1051"/>
      <c r="AY606" s="1051"/>
      <c r="AZ606" s="1051"/>
      <c r="BA606" s="1051"/>
      <c r="BB606" s="1051"/>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9"/>
      <c r="AV607" s="1050"/>
      <c r="AW607" s="1051"/>
      <c r="AX607" s="1051"/>
      <c r="AY607" s="1051"/>
      <c r="AZ607" s="1051"/>
      <c r="BA607" s="1051"/>
      <c r="BB607" s="1051"/>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9"/>
      <c r="AV608" s="1050"/>
      <c r="AW608" s="1051"/>
      <c r="AX608" s="1051"/>
      <c r="AY608" s="1051"/>
      <c r="AZ608" s="1051"/>
      <c r="BA608" s="1051"/>
      <c r="BB608" s="1051"/>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9"/>
      <c r="AV609" s="1050"/>
      <c r="AW609" s="1051"/>
      <c r="AX609" s="1051"/>
      <c r="AY609" s="1051"/>
      <c r="AZ609" s="1051"/>
      <c r="BA609" s="1051"/>
      <c r="BB609" s="1051"/>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9"/>
      <c r="AV610" s="1050"/>
      <c r="AW610" s="1051"/>
      <c r="AX610" s="1051"/>
      <c r="AY610" s="1051"/>
      <c r="AZ610" s="1051"/>
      <c r="BA610" s="1051"/>
      <c r="BB610" s="1051"/>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9"/>
      <c r="AV611" s="1050"/>
      <c r="AW611" s="1051"/>
      <c r="AX611" s="1051"/>
      <c r="AY611" s="1051"/>
      <c r="AZ611" s="1051"/>
      <c r="BA611" s="1051"/>
      <c r="BB611" s="1051"/>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9"/>
      <c r="AV612" s="1050"/>
      <c r="AW612" s="1051"/>
      <c r="AX612" s="1051"/>
      <c r="AY612" s="1051"/>
      <c r="AZ612" s="1051"/>
      <c r="BA612" s="1051"/>
      <c r="BB612" s="1051"/>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9"/>
      <c r="AV613" s="1050"/>
      <c r="AW613" s="1051"/>
      <c r="AX613" s="1051"/>
      <c r="AY613" s="1051"/>
      <c r="AZ613" s="1051"/>
      <c r="BA613" s="1051"/>
      <c r="BB613" s="1051"/>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9"/>
      <c r="AV614" s="1050"/>
      <c r="AW614" s="1051"/>
      <c r="AX614" s="1051"/>
      <c r="AY614" s="1051"/>
      <c r="AZ614" s="1051"/>
      <c r="BA614" s="1051"/>
      <c r="BB614" s="1051"/>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9"/>
      <c r="AV615" s="1050"/>
      <c r="AW615" s="1051"/>
      <c r="AX615" s="1051"/>
      <c r="AY615" s="1051"/>
      <c r="AZ615" s="1051"/>
      <c r="BA615" s="1051"/>
      <c r="BB615" s="1051"/>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9"/>
      <c r="AV616" s="1050"/>
      <c r="AW616" s="1051"/>
      <c r="AX616" s="1051"/>
      <c r="AY616" s="1051"/>
      <c r="AZ616" s="1051"/>
      <c r="BA616" s="1051"/>
      <c r="BB616" s="1051"/>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9"/>
      <c r="AV617" s="1050"/>
      <c r="AW617" s="1051"/>
      <c r="AX617" s="1051"/>
      <c r="AY617" s="1051"/>
      <c r="AZ617" s="1051"/>
      <c r="BA617" s="1051"/>
      <c r="BB617" s="1051"/>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9"/>
      <c r="AV618" s="1050"/>
      <c r="AW618" s="1051"/>
      <c r="AX618" s="1051"/>
      <c r="AY618" s="1051"/>
      <c r="AZ618" s="1051"/>
      <c r="BA618" s="1051"/>
      <c r="BB618" s="1051"/>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9"/>
      <c r="AV619" s="1050"/>
      <c r="AW619" s="1051"/>
      <c r="AX619" s="1051"/>
      <c r="AY619" s="1051"/>
      <c r="AZ619" s="1051"/>
      <c r="BA619" s="1051"/>
      <c r="BB619" s="1051"/>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9"/>
      <c r="AV620" s="1050"/>
      <c r="AW620" s="1051"/>
      <c r="AX620" s="1051"/>
      <c r="AY620" s="1051"/>
      <c r="AZ620" s="1051"/>
      <c r="BA620" s="1051"/>
      <c r="BB620" s="1051"/>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9"/>
      <c r="AV621" s="1050"/>
      <c r="AW621" s="1051"/>
      <c r="AX621" s="1051"/>
      <c r="AY621" s="1051"/>
      <c r="AZ621" s="1051"/>
      <c r="BA621" s="1051"/>
      <c r="BB621" s="1051"/>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9"/>
      <c r="AV622" s="1050"/>
      <c r="AW622" s="1051"/>
      <c r="AX622" s="1051"/>
      <c r="AY622" s="1051"/>
      <c r="AZ622" s="1051"/>
      <c r="BA622" s="1051"/>
      <c r="BB622" s="1051"/>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9"/>
      <c r="AV623" s="1050"/>
      <c r="AW623" s="1051"/>
      <c r="AX623" s="1051"/>
      <c r="AY623" s="1051"/>
      <c r="AZ623" s="1051"/>
      <c r="BA623" s="1051"/>
      <c r="BB623" s="1051"/>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9"/>
      <c r="AV624" s="1050"/>
      <c r="AW624" s="1051"/>
      <c r="AX624" s="1051"/>
      <c r="AY624" s="1051"/>
      <c r="AZ624" s="1051"/>
      <c r="BA624" s="1051"/>
      <c r="BB624" s="1051"/>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9"/>
      <c r="AV625" s="1050"/>
      <c r="AW625" s="1051"/>
      <c r="AX625" s="1051"/>
      <c r="AY625" s="1051"/>
      <c r="AZ625" s="1051"/>
      <c r="BA625" s="1051"/>
      <c r="BB625" s="1051"/>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9"/>
      <c r="AV626" s="1050"/>
      <c r="AW626" s="1051"/>
      <c r="AX626" s="1051"/>
      <c r="AY626" s="1051"/>
      <c r="AZ626" s="1051"/>
      <c r="BA626" s="1051"/>
      <c r="BB626" s="1051"/>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9"/>
      <c r="AV627" s="1050"/>
      <c r="AW627" s="1051"/>
      <c r="AX627" s="1051"/>
      <c r="AY627" s="1051"/>
      <c r="AZ627" s="1051"/>
      <c r="BA627" s="1051"/>
      <c r="BB627" s="1051"/>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9"/>
      <c r="AV628" s="1050"/>
      <c r="AW628" s="1051"/>
      <c r="AX628" s="1051"/>
      <c r="AY628" s="1051"/>
      <c r="AZ628" s="1051"/>
      <c r="BA628" s="1051"/>
      <c r="BB628" s="1051"/>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9"/>
      <c r="AV629" s="1050"/>
      <c r="AW629" s="1051"/>
      <c r="AX629" s="1051"/>
      <c r="AY629" s="1051"/>
      <c r="AZ629" s="1051"/>
      <c r="BA629" s="1051"/>
      <c r="BB629" s="1051"/>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9"/>
      <c r="AV630" s="1050"/>
      <c r="AW630" s="1051"/>
      <c r="AX630" s="1051"/>
      <c r="AY630" s="1051"/>
      <c r="AZ630" s="1051"/>
      <c r="BA630" s="1051"/>
      <c r="BB630" s="1051"/>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9"/>
      <c r="AV631" s="1050"/>
      <c r="AW631" s="1051"/>
      <c r="AX631" s="1051"/>
      <c r="AY631" s="1051"/>
      <c r="AZ631" s="1051"/>
      <c r="BA631" s="1051"/>
      <c r="BB631" s="1051"/>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9"/>
      <c r="AV632" s="1050"/>
      <c r="AW632" s="1051"/>
      <c r="AX632" s="1051"/>
      <c r="AY632" s="1051"/>
      <c r="AZ632" s="1051"/>
      <c r="BA632" s="1051"/>
      <c r="BB632" s="1051"/>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9"/>
      <c r="AV633" s="1050"/>
      <c r="AW633" s="1051"/>
      <c r="AX633" s="1051"/>
      <c r="AY633" s="1051"/>
      <c r="AZ633" s="1051"/>
      <c r="BA633" s="1051"/>
      <c r="BB633" s="1051"/>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9"/>
      <c r="AV634" s="1050"/>
      <c r="AW634" s="1051"/>
      <c r="AX634" s="1051"/>
      <c r="AY634" s="1051"/>
      <c r="AZ634" s="1051"/>
      <c r="BA634" s="1051"/>
      <c r="BB634" s="1051"/>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9"/>
      <c r="AV635" s="1050"/>
      <c r="AW635" s="1051"/>
      <c r="AX635" s="1051"/>
      <c r="AY635" s="1051"/>
      <c r="AZ635" s="1051"/>
      <c r="BA635" s="1051"/>
      <c r="BB635" s="1051"/>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9"/>
      <c r="AV636" s="1050"/>
      <c r="AW636" s="1051"/>
      <c r="AX636" s="1051"/>
      <c r="AY636" s="1051"/>
      <c r="AZ636" s="1051"/>
      <c r="BA636" s="1051"/>
      <c r="BB636" s="1051"/>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9"/>
      <c r="AV637" s="1050"/>
      <c r="AW637" s="1051"/>
      <c r="AX637" s="1051"/>
      <c r="AY637" s="1051"/>
      <c r="AZ637" s="1051"/>
      <c r="BA637" s="1051"/>
      <c r="BB637" s="1051"/>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9"/>
      <c r="AV638" s="1050"/>
      <c r="AW638" s="1051"/>
      <c r="AX638" s="1051"/>
      <c r="AY638" s="1051"/>
      <c r="AZ638" s="1051"/>
      <c r="BA638" s="1051"/>
      <c r="BB638" s="1051"/>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9"/>
      <c r="AV639" s="1050"/>
      <c r="AW639" s="1051"/>
      <c r="AX639" s="1051"/>
      <c r="AY639" s="1051"/>
      <c r="AZ639" s="1051"/>
      <c r="BA639" s="1051"/>
      <c r="BB639" s="1051"/>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9"/>
      <c r="AV640" s="1050"/>
      <c r="AW640" s="1051"/>
      <c r="AX640" s="1051"/>
      <c r="AY640" s="1051"/>
      <c r="AZ640" s="1051"/>
      <c r="BA640" s="1051"/>
      <c r="BB640" s="1051"/>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9"/>
      <c r="AV641" s="1050"/>
      <c r="AW641" s="1051"/>
      <c r="AX641" s="1051"/>
      <c r="AY641" s="1051"/>
      <c r="AZ641" s="1051"/>
      <c r="BA641" s="1051"/>
      <c r="BB641" s="1051"/>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9"/>
      <c r="AV642" s="1050"/>
      <c r="AW642" s="1051"/>
      <c r="AX642" s="1051"/>
      <c r="AY642" s="1051"/>
      <c r="AZ642" s="1051"/>
      <c r="BA642" s="1051"/>
      <c r="BB642" s="1051"/>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9"/>
      <c r="AV643" s="1050"/>
      <c r="AW643" s="1051"/>
      <c r="AX643" s="1051"/>
      <c r="AY643" s="1051"/>
      <c r="AZ643" s="1051"/>
      <c r="BA643" s="1051"/>
      <c r="BB643" s="1051"/>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9"/>
      <c r="AV644" s="1050"/>
      <c r="AW644" s="1051"/>
      <c r="AX644" s="1051"/>
      <c r="AY644" s="1051"/>
      <c r="AZ644" s="1051"/>
      <c r="BA644" s="1051"/>
      <c r="BB644" s="1051"/>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9"/>
      <c r="AV645" s="1050"/>
      <c r="AW645" s="1051"/>
      <c r="AX645" s="1051"/>
      <c r="AY645" s="1051"/>
      <c r="AZ645" s="1051"/>
      <c r="BA645" s="1051"/>
      <c r="BB645" s="1051"/>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9"/>
      <c r="AV646" s="1050"/>
      <c r="AW646" s="1051"/>
      <c r="AX646" s="1051"/>
      <c r="AY646" s="1051"/>
      <c r="AZ646" s="1051"/>
      <c r="BA646" s="1051"/>
      <c r="BB646" s="1051"/>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9"/>
      <c r="AV647" s="1050"/>
      <c r="AW647" s="1051"/>
      <c r="AX647" s="1051"/>
      <c r="AY647" s="1051"/>
      <c r="AZ647" s="1051"/>
      <c r="BA647" s="1051"/>
      <c r="BB647" s="1051"/>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9"/>
      <c r="AV648" s="1050"/>
      <c r="AW648" s="1051"/>
      <c r="AX648" s="1051"/>
      <c r="AY648" s="1051"/>
      <c r="AZ648" s="1051"/>
      <c r="BA648" s="1051"/>
      <c r="BB648" s="1051"/>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9"/>
      <c r="AV649" s="1050"/>
      <c r="AW649" s="1051"/>
      <c r="AX649" s="1051"/>
      <c r="AY649" s="1051"/>
      <c r="AZ649" s="1051"/>
      <c r="BA649" s="1051"/>
      <c r="BB649" s="1051"/>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9"/>
      <c r="AV650" s="1050"/>
      <c r="AW650" s="1051"/>
      <c r="AX650" s="1051"/>
      <c r="AY650" s="1051"/>
      <c r="AZ650" s="1051"/>
      <c r="BA650" s="1051"/>
      <c r="BB650" s="1051"/>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9"/>
      <c r="AV651" s="1050"/>
      <c r="AW651" s="1051"/>
      <c r="AX651" s="1051"/>
      <c r="AY651" s="1051"/>
      <c r="AZ651" s="1051"/>
      <c r="BA651" s="1051"/>
      <c r="BB651" s="1051"/>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9"/>
      <c r="AV652" s="1050"/>
      <c r="AW652" s="1051"/>
      <c r="AX652" s="1051"/>
      <c r="AY652" s="1051"/>
      <c r="AZ652" s="1051"/>
      <c r="BA652" s="1051"/>
      <c r="BB652" s="1051"/>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9"/>
      <c r="AV653" s="1050"/>
      <c r="AW653" s="1051"/>
      <c r="AX653" s="1051"/>
      <c r="AY653" s="1051"/>
      <c r="AZ653" s="1051"/>
      <c r="BA653" s="1051"/>
      <c r="BB653" s="1051"/>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9"/>
      <c r="AV654" s="1050"/>
      <c r="AW654" s="1051"/>
      <c r="AX654" s="1051"/>
      <c r="AY654" s="1051"/>
      <c r="AZ654" s="1051"/>
      <c r="BA654" s="1051"/>
      <c r="BB654" s="1051"/>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9"/>
      <c r="AV655" s="1050"/>
      <c r="AW655" s="1051"/>
      <c r="AX655" s="1051"/>
      <c r="AY655" s="1051"/>
      <c r="AZ655" s="1051"/>
      <c r="BA655" s="1051"/>
      <c r="BB655" s="1051"/>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9"/>
      <c r="AV656" s="1050"/>
      <c r="AW656" s="1051"/>
      <c r="AX656" s="1051"/>
      <c r="AY656" s="1051"/>
      <c r="AZ656" s="1051"/>
      <c r="BA656" s="1051"/>
      <c r="BB656" s="1051"/>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9"/>
      <c r="AV657" s="1050"/>
      <c r="AW657" s="1051"/>
      <c r="AX657" s="1051"/>
      <c r="AY657" s="1051"/>
      <c r="AZ657" s="1051"/>
      <c r="BA657" s="1051"/>
      <c r="BB657" s="1051"/>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9"/>
      <c r="AV658" s="1050"/>
      <c r="AW658" s="1051"/>
      <c r="AX658" s="1051"/>
      <c r="AY658" s="1051"/>
      <c r="AZ658" s="1051"/>
      <c r="BA658" s="1051"/>
      <c r="BB658" s="1051"/>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9"/>
      <c r="AV659" s="1050"/>
      <c r="AW659" s="1051"/>
      <c r="AX659" s="1051"/>
      <c r="AY659" s="1051"/>
      <c r="AZ659" s="1051"/>
      <c r="BA659" s="1051"/>
      <c r="BB659" s="1051"/>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9"/>
      <c r="AV660" s="1050"/>
      <c r="AW660" s="1051"/>
      <c r="AX660" s="1051"/>
      <c r="AY660" s="1051"/>
      <c r="AZ660" s="1051"/>
      <c r="BA660" s="1051"/>
      <c r="BB660" s="1051"/>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9"/>
      <c r="AV661" s="1050"/>
      <c r="AW661" s="1051"/>
      <c r="AX661" s="1051"/>
      <c r="AY661" s="1051"/>
      <c r="AZ661" s="1051"/>
      <c r="BA661" s="1051"/>
      <c r="BB661" s="1051"/>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9"/>
      <c r="AV662" s="1050"/>
      <c r="AW662" s="1051"/>
      <c r="AX662" s="1051"/>
      <c r="AY662" s="1051"/>
      <c r="AZ662" s="1051"/>
      <c r="BA662" s="1051"/>
      <c r="BB662" s="1051"/>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9"/>
      <c r="AV663" s="1050"/>
      <c r="AW663" s="1051"/>
      <c r="AX663" s="1051"/>
      <c r="AY663" s="1051"/>
      <c r="AZ663" s="1051"/>
      <c r="BA663" s="1051"/>
      <c r="BB663" s="1051"/>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9"/>
      <c r="AV664" s="1050"/>
      <c r="AW664" s="1051"/>
      <c r="AX664" s="1051"/>
      <c r="AY664" s="1051"/>
      <c r="AZ664" s="1051"/>
      <c r="BA664" s="1051"/>
      <c r="BB664" s="1051"/>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9"/>
      <c r="AV665" s="1050"/>
      <c r="AW665" s="1051"/>
      <c r="AX665" s="1051"/>
      <c r="AY665" s="1051"/>
      <c r="AZ665" s="1051"/>
      <c r="BA665" s="1051"/>
      <c r="BB665" s="1051"/>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9"/>
      <c r="AV666" s="1050"/>
      <c r="AW666" s="1051"/>
      <c r="AX666" s="1051"/>
      <c r="AY666" s="1051"/>
      <c r="AZ666" s="1051"/>
      <c r="BA666" s="1051"/>
      <c r="BB666" s="1051"/>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9"/>
      <c r="AV667" s="1050"/>
      <c r="AW667" s="1051"/>
      <c r="AX667" s="1051"/>
      <c r="AY667" s="1051"/>
      <c r="AZ667" s="1051"/>
      <c r="BA667" s="1051"/>
      <c r="BB667" s="1051"/>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9"/>
      <c r="AV668" s="1050"/>
      <c r="AW668" s="1051"/>
      <c r="AX668" s="1051"/>
      <c r="AY668" s="1051"/>
      <c r="AZ668" s="1051"/>
      <c r="BA668" s="1051"/>
      <c r="BB668" s="1051"/>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9"/>
      <c r="AV669" s="1050"/>
      <c r="AW669" s="1051"/>
      <c r="AX669" s="1051"/>
      <c r="AY669" s="1051"/>
      <c r="AZ669" s="1051"/>
      <c r="BA669" s="1051"/>
      <c r="BB669" s="1051"/>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9"/>
      <c r="AV670" s="1050"/>
      <c r="AW670" s="1051"/>
      <c r="AX670" s="1051"/>
      <c r="AY670" s="1051"/>
      <c r="AZ670" s="1051"/>
      <c r="BA670" s="1051"/>
      <c r="BB670" s="1051"/>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9"/>
      <c r="AV671" s="1050"/>
      <c r="AW671" s="1051"/>
      <c r="AX671" s="1051"/>
      <c r="AY671" s="1051"/>
      <c r="AZ671" s="1051"/>
      <c r="BA671" s="1051"/>
      <c r="BB671" s="1051"/>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9"/>
      <c r="AV672" s="1050"/>
      <c r="AW672" s="1051"/>
      <c r="AX672" s="1051"/>
      <c r="AY672" s="1051"/>
      <c r="AZ672" s="1051"/>
      <c r="BA672" s="1051"/>
      <c r="BB672" s="1051"/>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9"/>
      <c r="AV673" s="1050"/>
      <c r="AW673" s="1051"/>
      <c r="AX673" s="1051"/>
      <c r="AY673" s="1051"/>
      <c r="AZ673" s="1051"/>
      <c r="BA673" s="1051"/>
      <c r="BB673" s="1051"/>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9"/>
      <c r="AV674" s="1050"/>
      <c r="AW674" s="1051"/>
      <c r="AX674" s="1051"/>
      <c r="AY674" s="1051"/>
      <c r="AZ674" s="1051"/>
      <c r="BA674" s="1051"/>
      <c r="BB674" s="1051"/>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9"/>
      <c r="AV675" s="1050"/>
      <c r="AW675" s="1051"/>
      <c r="AX675" s="1051"/>
      <c r="AY675" s="1051"/>
      <c r="AZ675" s="1051"/>
      <c r="BA675" s="1051"/>
      <c r="BB675" s="1051"/>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9"/>
      <c r="AV676" s="1050"/>
      <c r="AW676" s="1051"/>
      <c r="AX676" s="1051"/>
      <c r="AY676" s="1051"/>
      <c r="AZ676" s="1051"/>
      <c r="BA676" s="1051"/>
      <c r="BB676" s="1051"/>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9"/>
      <c r="AV677" s="1050"/>
      <c r="AW677" s="1051"/>
      <c r="AX677" s="1051"/>
      <c r="AY677" s="1051"/>
      <c r="AZ677" s="1051"/>
      <c r="BA677" s="1051"/>
      <c r="BB677" s="1051"/>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9"/>
      <c r="AV678" s="1050"/>
      <c r="AW678" s="1051"/>
      <c r="AX678" s="1051"/>
      <c r="AY678" s="1051"/>
      <c r="AZ678" s="1051"/>
      <c r="BA678" s="1051"/>
      <c r="BB678" s="1051"/>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9"/>
      <c r="AV679" s="1050"/>
      <c r="AW679" s="1051"/>
      <c r="AX679" s="1051"/>
      <c r="AY679" s="1051"/>
      <c r="AZ679" s="1051"/>
      <c r="BA679" s="1051"/>
      <c r="BB679" s="1051"/>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9"/>
      <c r="AV680" s="1050"/>
      <c r="AW680" s="1051"/>
      <c r="AX680" s="1051"/>
      <c r="AY680" s="1051"/>
      <c r="AZ680" s="1051"/>
      <c r="BA680" s="1051"/>
      <c r="BB680" s="1051"/>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9"/>
      <c r="AV681" s="1050"/>
      <c r="AW681" s="1051"/>
      <c r="AX681" s="1051"/>
      <c r="AY681" s="1051"/>
      <c r="AZ681" s="1051"/>
      <c r="BA681" s="1051"/>
      <c r="BB681" s="1051"/>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9"/>
      <c r="AV682" s="1050"/>
      <c r="AW682" s="1051"/>
      <c r="AX682" s="1051"/>
      <c r="AY682" s="1051"/>
      <c r="AZ682" s="1051"/>
      <c r="BA682" s="1051"/>
      <c r="BB682" s="1051"/>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9"/>
      <c r="AV683" s="1050"/>
      <c r="AW683" s="1051"/>
      <c r="AX683" s="1051"/>
      <c r="AY683" s="1051"/>
      <c r="AZ683" s="1051"/>
      <c r="BA683" s="1051"/>
      <c r="BB683" s="1051"/>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9"/>
      <c r="AV684" s="1050"/>
      <c r="AW684" s="1051"/>
      <c r="AX684" s="1051"/>
      <c r="AY684" s="1051"/>
      <c r="AZ684" s="1051"/>
      <c r="BA684" s="1051"/>
      <c r="BB684" s="1051"/>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9"/>
      <c r="AV685" s="1050"/>
      <c r="AW685" s="1051"/>
      <c r="AX685" s="1051"/>
      <c r="AY685" s="1051"/>
      <c r="AZ685" s="1051"/>
      <c r="BA685" s="1051"/>
      <c r="BB685" s="1051"/>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9"/>
      <c r="AV686" s="1050"/>
      <c r="AW686" s="1051"/>
      <c r="AX686" s="1051"/>
      <c r="AY686" s="1051"/>
      <c r="AZ686" s="1051"/>
      <c r="BA686" s="1051"/>
      <c r="BB686" s="1051"/>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9"/>
      <c r="AV687" s="1050"/>
      <c r="AW687" s="1051"/>
      <c r="AX687" s="1051"/>
      <c r="AY687" s="1051"/>
      <c r="AZ687" s="1051"/>
      <c r="BA687" s="1051"/>
      <c r="BB687" s="1051"/>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9"/>
      <c r="AV688" s="1050"/>
      <c r="AW688" s="1051"/>
      <c r="AX688" s="1051"/>
      <c r="AY688" s="1051"/>
      <c r="AZ688" s="1051"/>
      <c r="BA688" s="1051"/>
      <c r="BB688" s="1051"/>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9"/>
      <c r="AV689" s="1050"/>
      <c r="AW689" s="1051"/>
      <c r="AX689" s="1051"/>
      <c r="AY689" s="1051"/>
      <c r="AZ689" s="1051"/>
      <c r="BA689" s="1051"/>
      <c r="BB689" s="1051"/>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9"/>
      <c r="AV690" s="1050"/>
      <c r="AW690" s="1051"/>
      <c r="AX690" s="1051"/>
      <c r="AY690" s="1051"/>
      <c r="AZ690" s="1051"/>
      <c r="BA690" s="1051"/>
      <c r="BB690" s="1051"/>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9"/>
      <c r="AV691" s="1050"/>
      <c r="AW691" s="1051"/>
      <c r="AX691" s="1051"/>
      <c r="AY691" s="1051"/>
      <c r="AZ691" s="1051"/>
      <c r="BA691" s="1051"/>
      <c r="BB691" s="1051"/>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9"/>
      <c r="AV692" s="1050"/>
      <c r="AW692" s="1051"/>
      <c r="AX692" s="1051"/>
      <c r="AY692" s="1051"/>
      <c r="AZ692" s="1051"/>
      <c r="BA692" s="1051"/>
      <c r="BB692" s="1051"/>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9"/>
      <c r="AV693" s="1050"/>
      <c r="AW693" s="1051"/>
      <c r="AX693" s="1051"/>
      <c r="AY693" s="1051"/>
      <c r="AZ693" s="1051"/>
      <c r="BA693" s="1051"/>
      <c r="BB693" s="1051"/>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9"/>
      <c r="AV694" s="1050"/>
      <c r="AW694" s="1051"/>
      <c r="AX694" s="1051"/>
      <c r="AY694" s="1051"/>
      <c r="AZ694" s="1051"/>
      <c r="BA694" s="1051"/>
      <c r="BB694" s="1051"/>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9"/>
      <c r="AV695" s="1050"/>
      <c r="AW695" s="1051"/>
      <c r="AX695" s="1051"/>
      <c r="AY695" s="1051"/>
      <c r="AZ695" s="1051"/>
      <c r="BA695" s="1051"/>
      <c r="BB695" s="1051"/>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9"/>
      <c r="AV696" s="1050"/>
      <c r="AW696" s="1051"/>
      <c r="AX696" s="1051"/>
      <c r="AY696" s="1051"/>
      <c r="AZ696" s="1051"/>
      <c r="BA696" s="1051"/>
      <c r="BB696" s="1051"/>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9"/>
      <c r="AV697" s="1050"/>
      <c r="AW697" s="1051"/>
      <c r="AX697" s="1051"/>
      <c r="AY697" s="1051"/>
      <c r="AZ697" s="1051"/>
      <c r="BA697" s="1051"/>
      <c r="BB697" s="1051"/>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9"/>
      <c r="AV698" s="1050"/>
      <c r="AW698" s="1051"/>
      <c r="AX698" s="1051"/>
      <c r="AY698" s="1051"/>
      <c r="AZ698" s="1051"/>
      <c r="BA698" s="1051"/>
      <c r="BB698" s="1051"/>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9"/>
      <c r="AV699" s="1050"/>
      <c r="AW699" s="1051"/>
      <c r="AX699" s="1051"/>
      <c r="AY699" s="1051"/>
      <c r="AZ699" s="1051"/>
      <c r="BA699" s="1051"/>
      <c r="BB699" s="1051"/>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9"/>
      <c r="AV700" s="1050"/>
      <c r="AW700" s="1051"/>
      <c r="AX700" s="1051"/>
      <c r="AY700" s="1051"/>
      <c r="AZ700" s="1051"/>
      <c r="BA700" s="1051"/>
      <c r="BB700" s="1051"/>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9"/>
      <c r="AV701" s="1050"/>
      <c r="AW701" s="1051"/>
      <c r="AX701" s="1051"/>
      <c r="AY701" s="1051"/>
      <c r="AZ701" s="1051"/>
      <c r="BA701" s="1051"/>
      <c r="BB701" s="1051"/>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9"/>
      <c r="AV702" s="1050"/>
      <c r="AW702" s="1051"/>
      <c r="AX702" s="1051"/>
      <c r="AY702" s="1051"/>
      <c r="AZ702" s="1051"/>
      <c r="BA702" s="1051"/>
      <c r="BB702" s="1051"/>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9"/>
      <c r="AV703" s="1050"/>
      <c r="AW703" s="1051"/>
      <c r="AX703" s="1051"/>
      <c r="AY703" s="1051"/>
      <c r="AZ703" s="1051"/>
      <c r="BA703" s="1051"/>
      <c r="BB703" s="1051"/>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9"/>
      <c r="AV704" s="1050"/>
      <c r="AW704" s="1051"/>
      <c r="AX704" s="1051"/>
      <c r="AY704" s="1051"/>
      <c r="AZ704" s="1051"/>
      <c r="BA704" s="1051"/>
      <c r="BB704" s="1051"/>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9"/>
      <c r="AV705" s="1050"/>
      <c r="AW705" s="1051"/>
      <c r="AX705" s="1051"/>
      <c r="AY705" s="1051"/>
      <c r="AZ705" s="1051"/>
      <c r="BA705" s="1051"/>
      <c r="BB705" s="1051"/>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9"/>
      <c r="AV706" s="1050"/>
      <c r="AW706" s="1051"/>
      <c r="AX706" s="1051"/>
      <c r="AY706" s="1051"/>
      <c r="AZ706" s="1051"/>
      <c r="BA706" s="1051"/>
      <c r="BB706" s="1051"/>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9"/>
      <c r="AV707" s="1050"/>
      <c r="AW707" s="1051"/>
      <c r="AX707" s="1051"/>
      <c r="AY707" s="1051"/>
      <c r="AZ707" s="1051"/>
      <c r="BA707" s="1051"/>
      <c r="BB707" s="1051"/>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9"/>
      <c r="AV708" s="1050"/>
      <c r="AW708" s="1051"/>
      <c r="AX708" s="1051"/>
      <c r="AY708" s="1051"/>
      <c r="AZ708" s="1051"/>
      <c r="BA708" s="1051"/>
      <c r="BB708" s="1051"/>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9"/>
      <c r="AV709" s="1050"/>
      <c r="AW709" s="1051"/>
      <c r="AX709" s="1051"/>
      <c r="AY709" s="1051"/>
      <c r="AZ709" s="1051"/>
      <c r="BA709" s="1051"/>
      <c r="BB709" s="1051"/>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9"/>
      <c r="AV710" s="1050"/>
      <c r="AW710" s="1051"/>
      <c r="AX710" s="1051"/>
      <c r="AY710" s="1051"/>
      <c r="AZ710" s="1051"/>
      <c r="BA710" s="1051"/>
      <c r="BB710" s="1051"/>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9"/>
      <c r="AV711" s="1050"/>
      <c r="AW711" s="1051"/>
      <c r="AX711" s="1051"/>
      <c r="AY711" s="1051"/>
      <c r="AZ711" s="1051"/>
      <c r="BA711" s="1051"/>
      <c r="BB711" s="1051"/>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9"/>
      <c r="AV712" s="1050"/>
      <c r="AW712" s="1051"/>
      <c r="AX712" s="1051"/>
      <c r="AY712" s="1051"/>
      <c r="AZ712" s="1051"/>
      <c r="BA712" s="1051"/>
      <c r="BB712" s="1051"/>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9"/>
      <c r="AV713" s="1050"/>
      <c r="AW713" s="1051"/>
      <c r="AX713" s="1051"/>
      <c r="AY713" s="1051"/>
      <c r="AZ713" s="1051"/>
      <c r="BA713" s="1051"/>
      <c r="BB713" s="1051"/>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9"/>
      <c r="AV714" s="1050"/>
      <c r="AW714" s="1051"/>
      <c r="AX714" s="1051"/>
      <c r="AY714" s="1051"/>
      <c r="AZ714" s="1051"/>
      <c r="BA714" s="1051"/>
      <c r="BB714" s="1051"/>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9"/>
      <c r="AV715" s="1050"/>
      <c r="AW715" s="1051"/>
      <c r="AX715" s="1051"/>
      <c r="AY715" s="1051"/>
      <c r="AZ715" s="1051"/>
      <c r="BA715" s="1051"/>
      <c r="BB715" s="1051"/>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9"/>
      <c r="AV716" s="1050"/>
      <c r="AW716" s="1051"/>
      <c r="AX716" s="1051"/>
      <c r="AY716" s="1051"/>
      <c r="AZ716" s="1051"/>
      <c r="BA716" s="1051"/>
      <c r="BB716" s="1051"/>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9"/>
      <c r="AV717" s="1050"/>
      <c r="AW717" s="1051"/>
      <c r="AX717" s="1051"/>
      <c r="AY717" s="1051"/>
      <c r="AZ717" s="1051"/>
      <c r="BA717" s="1051"/>
      <c r="BB717" s="1051"/>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9"/>
      <c r="AV718" s="1050"/>
      <c r="AW718" s="1051"/>
      <c r="AX718" s="1051"/>
      <c r="AY718" s="1051"/>
      <c r="AZ718" s="1051"/>
      <c r="BA718" s="1051"/>
      <c r="BB718" s="1051"/>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9"/>
      <c r="AV719" s="1050"/>
      <c r="AW719" s="1051"/>
      <c r="AX719" s="1051"/>
      <c r="AY719" s="1051"/>
      <c r="AZ719" s="1051"/>
      <c r="BA719" s="1051"/>
      <c r="BB719" s="1051"/>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9"/>
      <c r="AV720" s="1050"/>
      <c r="AW720" s="1051"/>
      <c r="AX720" s="1051"/>
      <c r="AY720" s="1051"/>
      <c r="AZ720" s="1051"/>
      <c r="BA720" s="1051"/>
      <c r="BB720" s="1051"/>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9"/>
      <c r="AV721" s="1050"/>
      <c r="AW721" s="1051"/>
      <c r="AX721" s="1051"/>
      <c r="AY721" s="1051"/>
      <c r="AZ721" s="1051"/>
      <c r="BA721" s="1051"/>
      <c r="BB721" s="1051"/>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9"/>
      <c r="AV722" s="1050"/>
      <c r="AW722" s="1051"/>
      <c r="AX722" s="1051"/>
      <c r="AY722" s="1051"/>
      <c r="AZ722" s="1051"/>
      <c r="BA722" s="1051"/>
      <c r="BB722" s="1051"/>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9"/>
      <c r="AV723" s="1050"/>
      <c r="AW723" s="1051"/>
      <c r="AX723" s="1051"/>
      <c r="AY723" s="1051"/>
      <c r="AZ723" s="1051"/>
      <c r="BA723" s="1051"/>
      <c r="BB723" s="1051"/>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9"/>
      <c r="AV724" s="1050"/>
      <c r="AW724" s="1051"/>
      <c r="AX724" s="1051"/>
      <c r="AY724" s="1051"/>
      <c r="AZ724" s="1051"/>
      <c r="BA724" s="1051"/>
      <c r="BB724" s="1051"/>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9"/>
      <c r="AV725" s="1050"/>
      <c r="AW725" s="1051"/>
      <c r="AX725" s="1051"/>
      <c r="AY725" s="1051"/>
      <c r="AZ725" s="1051"/>
      <c r="BA725" s="1051"/>
      <c r="BB725" s="1051"/>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9"/>
      <c r="AV726" s="1050"/>
      <c r="AW726" s="1051"/>
      <c r="AX726" s="1051"/>
      <c r="AY726" s="1051"/>
      <c r="AZ726" s="1051"/>
      <c r="BA726" s="1051"/>
      <c r="BB726" s="1051"/>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9"/>
      <c r="AV727" s="1050"/>
      <c r="AW727" s="1051"/>
      <c r="AX727" s="1051"/>
      <c r="AY727" s="1051"/>
      <c r="AZ727" s="1051"/>
      <c r="BA727" s="1051"/>
      <c r="BB727" s="1051"/>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9"/>
      <c r="AV728" s="1050"/>
      <c r="AW728" s="1051"/>
      <c r="AX728" s="1051"/>
      <c r="AY728" s="1051"/>
      <c r="AZ728" s="1051"/>
      <c r="BA728" s="1051"/>
      <c r="BB728" s="1051"/>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9"/>
      <c r="AV729" s="1050"/>
      <c r="AW729" s="1051"/>
      <c r="AX729" s="1051"/>
      <c r="AY729" s="1051"/>
      <c r="AZ729" s="1051"/>
      <c r="BA729" s="1051"/>
      <c r="BB729" s="1051"/>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9"/>
      <c r="AV730" s="1050"/>
      <c r="AW730" s="1051"/>
      <c r="AX730" s="1051"/>
      <c r="AY730" s="1051"/>
      <c r="AZ730" s="1051"/>
      <c r="BA730" s="1051"/>
      <c r="BB730" s="1051"/>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9"/>
      <c r="AV731" s="1050"/>
      <c r="AW731" s="1051"/>
      <c r="AX731" s="1051"/>
      <c r="AY731" s="1051"/>
      <c r="AZ731" s="1051"/>
      <c r="BA731" s="1051"/>
      <c r="BB731" s="1051"/>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9"/>
      <c r="AV732" s="1050"/>
      <c r="AW732" s="1051"/>
      <c r="AX732" s="1051"/>
      <c r="AY732" s="1051"/>
      <c r="AZ732" s="1051"/>
      <c r="BA732" s="1051"/>
      <c r="BB732" s="1051"/>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9"/>
      <c r="AV733" s="1050"/>
      <c r="AW733" s="1051"/>
      <c r="AX733" s="1051"/>
      <c r="AY733" s="1051"/>
      <c r="AZ733" s="1051"/>
      <c r="BA733" s="1051"/>
      <c r="BB733" s="1051"/>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9"/>
      <c r="AV734" s="1050"/>
      <c r="AW734" s="1051"/>
      <c r="AX734" s="1051"/>
      <c r="AY734" s="1051"/>
      <c r="AZ734" s="1051"/>
      <c r="BA734" s="1051"/>
      <c r="BB734" s="1051"/>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9"/>
      <c r="AV735" s="1050"/>
      <c r="AW735" s="1051"/>
      <c r="AX735" s="1051"/>
      <c r="AY735" s="1051"/>
      <c r="AZ735" s="1051"/>
      <c r="BA735" s="1051"/>
      <c r="BB735" s="1051"/>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9"/>
      <c r="AV736" s="1050"/>
      <c r="AW736" s="1051"/>
      <c r="AX736" s="1051"/>
      <c r="AY736" s="1051"/>
      <c r="AZ736" s="1051"/>
      <c r="BA736" s="1051"/>
      <c r="BB736" s="1051"/>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9"/>
      <c r="AV737" s="1050"/>
      <c r="AW737" s="1051"/>
      <c r="AX737" s="1051"/>
      <c r="AY737" s="1051"/>
      <c r="AZ737" s="1051"/>
      <c r="BA737" s="1051"/>
      <c r="BB737" s="1051"/>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9"/>
      <c r="AV738" s="1050"/>
      <c r="AW738" s="1051"/>
      <c r="AX738" s="1051"/>
      <c r="AY738" s="1051"/>
      <c r="AZ738" s="1051"/>
      <c r="BA738" s="1051"/>
      <c r="BB738" s="1051"/>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9"/>
      <c r="AV739" s="1050"/>
      <c r="AW739" s="1051"/>
      <c r="AX739" s="1051"/>
      <c r="AY739" s="1051"/>
      <c r="AZ739" s="1051"/>
      <c r="BA739" s="1051"/>
      <c r="BB739" s="1051"/>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9"/>
      <c r="AV740" s="1050"/>
      <c r="AW740" s="1051"/>
      <c r="AX740" s="1051"/>
      <c r="AY740" s="1051"/>
      <c r="AZ740" s="1051"/>
      <c r="BA740" s="1051"/>
      <c r="BB740" s="1051"/>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9"/>
      <c r="AV741" s="1050"/>
      <c r="AW741" s="1051"/>
      <c r="AX741" s="1051"/>
      <c r="AY741" s="1051"/>
      <c r="AZ741" s="1051"/>
      <c r="BA741" s="1051"/>
      <c r="BB741" s="1051"/>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9"/>
      <c r="AV742" s="1050"/>
      <c r="AW742" s="1051"/>
      <c r="AX742" s="1051"/>
      <c r="AY742" s="1051"/>
      <c r="AZ742" s="1051"/>
      <c r="BA742" s="1051"/>
      <c r="BB742" s="1051"/>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9"/>
      <c r="AV743" s="1050"/>
      <c r="AW743" s="1051"/>
      <c r="AX743" s="1051"/>
      <c r="AY743" s="1051"/>
      <c r="AZ743" s="1051"/>
      <c r="BA743" s="1051"/>
      <c r="BB743" s="1051"/>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9"/>
      <c r="AV744" s="1050"/>
      <c r="AW744" s="1051"/>
      <c r="AX744" s="1051"/>
      <c r="AY744" s="1051"/>
      <c r="AZ744" s="1051"/>
      <c r="BA744" s="1051"/>
      <c r="BB744" s="1051"/>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9"/>
      <c r="AV745" s="1050"/>
      <c r="AW745" s="1051"/>
      <c r="AX745" s="1051"/>
      <c r="AY745" s="1051"/>
      <c r="AZ745" s="1051"/>
      <c r="BA745" s="1051"/>
      <c r="BB745" s="1051"/>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9"/>
      <c r="AV746" s="1050"/>
      <c r="AW746" s="1051"/>
      <c r="AX746" s="1051"/>
      <c r="AY746" s="1051"/>
      <c r="AZ746" s="1051"/>
      <c r="BA746" s="1051"/>
      <c r="BB746" s="1051"/>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9"/>
      <c r="AV747" s="1050"/>
      <c r="AW747" s="1051"/>
      <c r="AX747" s="1051"/>
      <c r="AY747" s="1051"/>
      <c r="AZ747" s="1051"/>
      <c r="BA747" s="1051"/>
      <c r="BB747" s="1051"/>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9"/>
      <c r="AV748" s="1050"/>
      <c r="AW748" s="1051"/>
      <c r="AX748" s="1051"/>
      <c r="AY748" s="1051"/>
      <c r="AZ748" s="1051"/>
      <c r="BA748" s="1051"/>
      <c r="BB748" s="1051"/>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9"/>
      <c r="AV749" s="1050"/>
      <c r="AW749" s="1051"/>
      <c r="AX749" s="1051"/>
      <c r="AY749" s="1051"/>
      <c r="AZ749" s="1051"/>
      <c r="BA749" s="1051"/>
      <c r="BB749" s="1051"/>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9"/>
      <c r="AV750" s="1050"/>
      <c r="AW750" s="1051"/>
      <c r="AX750" s="1051"/>
      <c r="AY750" s="1051"/>
      <c r="AZ750" s="1051"/>
      <c r="BA750" s="1051"/>
      <c r="BB750" s="1051"/>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9"/>
      <c r="AV751" s="1050"/>
      <c r="AW751" s="1051"/>
      <c r="AX751" s="1051"/>
      <c r="AY751" s="1051"/>
      <c r="AZ751" s="1051"/>
      <c r="BA751" s="1051"/>
      <c r="BB751" s="1051"/>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9"/>
      <c r="AV752" s="1050"/>
      <c r="AW752" s="1051"/>
      <c r="AX752" s="1051"/>
      <c r="AY752" s="1051"/>
      <c r="AZ752" s="1051"/>
      <c r="BA752" s="1051"/>
      <c r="BB752" s="1051"/>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9"/>
      <c r="AV753" s="1050"/>
      <c r="AW753" s="1051"/>
      <c r="AX753" s="1051"/>
      <c r="AY753" s="1051"/>
      <c r="AZ753" s="1051"/>
      <c r="BA753" s="1051"/>
      <c r="BB753" s="1051"/>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9"/>
      <c r="AV754" s="1050"/>
      <c r="AW754" s="1051"/>
      <c r="AX754" s="1051"/>
      <c r="AY754" s="1051"/>
      <c r="AZ754" s="1051"/>
      <c r="BA754" s="1051"/>
      <c r="BB754" s="1051"/>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9"/>
      <c r="AV755" s="1050"/>
      <c r="AW755" s="1051"/>
      <c r="AX755" s="1051"/>
      <c r="AY755" s="1051"/>
      <c r="AZ755" s="1051"/>
      <c r="BA755" s="1051"/>
      <c r="BB755" s="1051"/>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9"/>
      <c r="AV756" s="1050"/>
      <c r="AW756" s="1051"/>
      <c r="AX756" s="1051"/>
      <c r="AY756" s="1051"/>
      <c r="AZ756" s="1051"/>
      <c r="BA756" s="1051"/>
      <c r="BB756" s="1051"/>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9"/>
      <c r="AV757" s="1050"/>
      <c r="AW757" s="1051"/>
      <c r="AX757" s="1051"/>
      <c r="AY757" s="1051"/>
      <c r="AZ757" s="1051"/>
      <c r="BA757" s="1051"/>
      <c r="BB757" s="1051"/>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9"/>
      <c r="AV758" s="1050"/>
      <c r="AW758" s="1051"/>
      <c r="AX758" s="1051"/>
      <c r="AY758" s="1051"/>
      <c r="AZ758" s="1051"/>
      <c r="BA758" s="1051"/>
      <c r="BB758" s="1051"/>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9"/>
      <c r="AV759" s="1050"/>
      <c r="AW759" s="1051"/>
      <c r="AX759" s="1051"/>
      <c r="AY759" s="1051"/>
      <c r="AZ759" s="1051"/>
      <c r="BA759" s="1051"/>
      <c r="BB759" s="1051"/>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9"/>
      <c r="AV760" s="1050"/>
      <c r="AW760" s="1051"/>
      <c r="AX760" s="1051"/>
      <c r="AY760" s="1051"/>
      <c r="AZ760" s="1051"/>
      <c r="BA760" s="1051"/>
      <c r="BB760" s="1051"/>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9"/>
      <c r="AV761" s="1050"/>
      <c r="AW761" s="1051"/>
      <c r="AX761" s="1051"/>
      <c r="AY761" s="1051"/>
      <c r="AZ761" s="1051"/>
      <c r="BA761" s="1051"/>
      <c r="BB761" s="1051"/>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9"/>
      <c r="AV762" s="1050"/>
      <c r="AW762" s="1051"/>
      <c r="AX762" s="1051"/>
      <c r="AY762" s="1051"/>
      <c r="AZ762" s="1051"/>
      <c r="BA762" s="1051"/>
      <c r="BB762" s="1051"/>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9"/>
      <c r="AV763" s="1050"/>
      <c r="AW763" s="1051"/>
      <c r="AX763" s="1051"/>
      <c r="AY763" s="1051"/>
      <c r="AZ763" s="1051"/>
      <c r="BA763" s="1051"/>
      <c r="BB763" s="1051"/>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9"/>
      <c r="AV764" s="1050"/>
      <c r="AW764" s="1051"/>
      <c r="AX764" s="1051"/>
      <c r="AY764" s="1051"/>
      <c r="AZ764" s="1051"/>
      <c r="BA764" s="1051"/>
      <c r="BB764" s="1051"/>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9"/>
      <c r="AV765" s="1050"/>
      <c r="AW765" s="1051"/>
      <c r="AX765" s="1051"/>
      <c r="AY765" s="1051"/>
      <c r="AZ765" s="1051"/>
      <c r="BA765" s="1051"/>
      <c r="BB765" s="1051"/>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9"/>
      <c r="AV766" s="1050"/>
      <c r="AW766" s="1051"/>
      <c r="AX766" s="1051"/>
      <c r="AY766" s="1051"/>
      <c r="AZ766" s="1051"/>
      <c r="BA766" s="1051"/>
      <c r="BB766" s="1051"/>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9"/>
      <c r="AV767" s="1050"/>
      <c r="AW767" s="1051"/>
      <c r="AX767" s="1051"/>
      <c r="AY767" s="1051"/>
      <c r="AZ767" s="1051"/>
      <c r="BA767" s="1051"/>
      <c r="BB767" s="1051"/>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9"/>
      <c r="AV768" s="1050"/>
      <c r="AW768" s="1051"/>
      <c r="AX768" s="1051"/>
      <c r="AY768" s="1051"/>
      <c r="AZ768" s="1051"/>
      <c r="BA768" s="1051"/>
      <c r="BB768" s="1051"/>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9"/>
      <c r="AV769" s="1050"/>
      <c r="AW769" s="1051"/>
      <c r="AX769" s="1051"/>
      <c r="AY769" s="1051"/>
      <c r="AZ769" s="1051"/>
      <c r="BA769" s="1051"/>
      <c r="BB769" s="1051"/>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9"/>
      <c r="AV770" s="1050"/>
      <c r="AW770" s="1051"/>
      <c r="AX770" s="1051"/>
      <c r="AY770" s="1051"/>
      <c r="AZ770" s="1051"/>
      <c r="BA770" s="1051"/>
      <c r="BB770" s="1051"/>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9"/>
      <c r="AV771" s="1050"/>
      <c r="AW771" s="1051"/>
      <c r="AX771" s="1051"/>
      <c r="AY771" s="1051"/>
      <c r="AZ771" s="1051"/>
      <c r="BA771" s="1051"/>
      <c r="BB771" s="1051"/>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9"/>
      <c r="AV772" s="1050"/>
      <c r="AW772" s="1051"/>
      <c r="AX772" s="1051"/>
      <c r="AY772" s="1051"/>
      <c r="AZ772" s="1051"/>
      <c r="BA772" s="1051"/>
      <c r="BB772" s="1051"/>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9"/>
      <c r="AV773" s="1050"/>
      <c r="AW773" s="1051"/>
      <c r="AX773" s="1051"/>
      <c r="AY773" s="1051"/>
      <c r="AZ773" s="1051"/>
      <c r="BA773" s="1051"/>
      <c r="BB773" s="1051"/>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9"/>
      <c r="AV774" s="1050"/>
      <c r="AW774" s="1051"/>
      <c r="AX774" s="1051"/>
      <c r="AY774" s="1051"/>
      <c r="AZ774" s="1051"/>
      <c r="BA774" s="1051"/>
      <c r="BB774" s="1051"/>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9"/>
      <c r="AV775" s="1050"/>
      <c r="AW775" s="1051"/>
      <c r="AX775" s="1051"/>
      <c r="AY775" s="1051"/>
      <c r="AZ775" s="1051"/>
      <c r="BA775" s="1051"/>
      <c r="BB775" s="1051"/>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9"/>
      <c r="AV776" s="1050"/>
      <c r="AW776" s="1051"/>
      <c r="AX776" s="1051"/>
      <c r="AY776" s="1051"/>
      <c r="AZ776" s="1051"/>
      <c r="BA776" s="1051"/>
      <c r="BB776" s="1051"/>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9"/>
      <c r="AV777" s="1050"/>
      <c r="AW777" s="1051"/>
      <c r="AX777" s="1051"/>
      <c r="AY777" s="1051"/>
      <c r="AZ777" s="1051"/>
      <c r="BA777" s="1051"/>
      <c r="BB777" s="1051"/>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9"/>
      <c r="AV778" s="1050"/>
      <c r="AW778" s="1051"/>
      <c r="AX778" s="1051"/>
      <c r="AY778" s="1051"/>
      <c r="AZ778" s="1051"/>
      <c r="BA778" s="1051"/>
      <c r="BB778" s="1051"/>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9"/>
      <c r="AV779" s="1050"/>
      <c r="AW779" s="1051"/>
      <c r="AX779" s="1051"/>
      <c r="AY779" s="1051"/>
      <c r="AZ779" s="1051"/>
      <c r="BA779" s="1051"/>
      <c r="BB779" s="1051"/>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9"/>
      <c r="AV780" s="1050"/>
      <c r="AW780" s="1051"/>
      <c r="AX780" s="1051"/>
      <c r="AY780" s="1051"/>
      <c r="AZ780" s="1051"/>
      <c r="BA780" s="1051"/>
      <c r="BB780" s="1051"/>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9"/>
      <c r="AV781" s="1050"/>
      <c r="AW781" s="1051"/>
      <c r="AX781" s="1051"/>
      <c r="AY781" s="1051"/>
      <c r="AZ781" s="1051"/>
      <c r="BA781" s="1051"/>
      <c r="BB781" s="1051"/>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9"/>
      <c r="AV782" s="1050"/>
      <c r="AW782" s="1051"/>
      <c r="AX782" s="1051"/>
      <c r="AY782" s="1051"/>
      <c r="AZ782" s="1051"/>
      <c r="BA782" s="1051"/>
      <c r="BB782" s="1051"/>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9"/>
      <c r="AV783" s="1050"/>
      <c r="AW783" s="1051"/>
      <c r="AX783" s="1051"/>
      <c r="AY783" s="1051"/>
      <c r="AZ783" s="1051"/>
      <c r="BA783" s="1051"/>
      <c r="BB783" s="1051"/>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9"/>
      <c r="AV784" s="1050"/>
      <c r="AW784" s="1051"/>
      <c r="AX784" s="1051"/>
      <c r="AY784" s="1051"/>
      <c r="AZ784" s="1051"/>
      <c r="BA784" s="1051"/>
      <c r="BB784" s="1051"/>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9"/>
      <c r="AV785" s="1050"/>
      <c r="AW785" s="1051"/>
      <c r="AX785" s="1051"/>
      <c r="AY785" s="1051"/>
      <c r="AZ785" s="1051"/>
      <c r="BA785" s="1051"/>
      <c r="BB785" s="1051"/>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9"/>
      <c r="AV786" s="1050"/>
      <c r="AW786" s="1051"/>
      <c r="AX786" s="1051"/>
      <c r="AY786" s="1051"/>
      <c r="AZ786" s="1051"/>
      <c r="BA786" s="1051"/>
      <c r="BB786" s="1051"/>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9"/>
      <c r="AV787" s="1050"/>
      <c r="AW787" s="1051"/>
      <c r="AX787" s="1051"/>
      <c r="AY787" s="1051"/>
      <c r="AZ787" s="1051"/>
      <c r="BA787" s="1051"/>
      <c r="BB787" s="1051"/>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9"/>
      <c r="AV788" s="1050"/>
      <c r="AW788" s="1051"/>
      <c r="AX788" s="1051"/>
      <c r="AY788" s="1051"/>
      <c r="AZ788" s="1051"/>
      <c r="BA788" s="1051"/>
      <c r="BB788" s="1051"/>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9"/>
      <c r="AV789" s="1050"/>
      <c r="AW789" s="1051"/>
      <c r="AX789" s="1051"/>
      <c r="AY789" s="1051"/>
      <c r="AZ789" s="1051"/>
      <c r="BA789" s="1051"/>
      <c r="BB789" s="1051"/>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9"/>
      <c r="AV790" s="1050"/>
      <c r="AW790" s="1051"/>
      <c r="AX790" s="1051"/>
      <c r="AY790" s="1051"/>
      <c r="AZ790" s="1051"/>
      <c r="BA790" s="1051"/>
      <c r="BB790" s="1051"/>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9"/>
      <c r="AV791" s="1050"/>
      <c r="AW791" s="1051"/>
      <c r="AX791" s="1051"/>
      <c r="AY791" s="1051"/>
      <c r="AZ791" s="1051"/>
      <c r="BA791" s="1051"/>
      <c r="BB791" s="1051"/>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9"/>
      <c r="AV792" s="1050"/>
      <c r="AW792" s="1051"/>
      <c r="AX792" s="1051"/>
      <c r="AY792" s="1051"/>
      <c r="AZ792" s="1051"/>
      <c r="BA792" s="1051"/>
      <c r="BB792" s="1051"/>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9"/>
      <c r="AV793" s="1050"/>
      <c r="AW793" s="1051"/>
      <c r="AX793" s="1051"/>
      <c r="AY793" s="1051"/>
      <c r="AZ793" s="1051"/>
      <c r="BA793" s="1051"/>
      <c r="BB793" s="1051"/>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9"/>
      <c r="AV794" s="1050"/>
      <c r="AW794" s="1051"/>
      <c r="AX794" s="1051"/>
      <c r="AY794" s="1051"/>
      <c r="AZ794" s="1051"/>
      <c r="BA794" s="1051"/>
      <c r="BB794" s="1051"/>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9"/>
      <c r="AV795" s="1050"/>
      <c r="AW795" s="1051"/>
      <c r="AX795" s="1051"/>
      <c r="AY795" s="1051"/>
      <c r="AZ795" s="1051"/>
      <c r="BA795" s="1051"/>
      <c r="BB795" s="1051"/>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9"/>
      <c r="AV796" s="1050"/>
      <c r="AW796" s="1051"/>
      <c r="AX796" s="1051"/>
      <c r="AY796" s="1051"/>
      <c r="AZ796" s="1051"/>
      <c r="BA796" s="1051"/>
      <c r="BB796" s="1051"/>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9"/>
      <c r="AV797" s="1050"/>
      <c r="AW797" s="1051"/>
      <c r="AX797" s="1051"/>
      <c r="AY797" s="1051"/>
      <c r="AZ797" s="1051"/>
      <c r="BA797" s="1051"/>
      <c r="BB797" s="1051"/>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9"/>
      <c r="AV798" s="1050"/>
      <c r="AW798" s="1051"/>
      <c r="AX798" s="1051"/>
      <c r="AY798" s="1051"/>
      <c r="AZ798" s="1051"/>
      <c r="BA798" s="1051"/>
      <c r="BB798" s="1051"/>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9"/>
      <c r="AV799" s="1050"/>
      <c r="AW799" s="1051"/>
      <c r="AX799" s="1051"/>
      <c r="AY799" s="1051"/>
      <c r="AZ799" s="1051"/>
      <c r="BA799" s="1051"/>
      <c r="BB799" s="1051"/>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9"/>
      <c r="AV800" s="1050"/>
      <c r="AW800" s="1051"/>
      <c r="AX800" s="1051"/>
      <c r="AY800" s="1051"/>
      <c r="AZ800" s="1051"/>
      <c r="BA800" s="1051"/>
      <c r="BB800" s="1051"/>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9"/>
      <c r="AV801" s="1050"/>
      <c r="AW801" s="1051"/>
      <c r="AX801" s="1051"/>
      <c r="AY801" s="1051"/>
      <c r="AZ801" s="1051"/>
      <c r="BA801" s="1051"/>
      <c r="BB801" s="1051"/>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9"/>
      <c r="AV802" s="1050"/>
      <c r="AW802" s="1051"/>
      <c r="AX802" s="1051"/>
      <c r="AY802" s="1051"/>
      <c r="AZ802" s="1051"/>
      <c r="BA802" s="1051"/>
      <c r="BB802" s="1051"/>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9"/>
      <c r="AV803" s="1050"/>
      <c r="AW803" s="1051"/>
      <c r="AX803" s="1051"/>
      <c r="AY803" s="1051"/>
      <c r="AZ803" s="1051"/>
      <c r="BA803" s="1051"/>
      <c r="BB803" s="1051"/>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9"/>
      <c r="AV804" s="1050"/>
      <c r="AW804" s="1051"/>
      <c r="AX804" s="1051"/>
      <c r="AY804" s="1051"/>
      <c r="AZ804" s="1051"/>
      <c r="BA804" s="1051"/>
      <c r="BB804" s="1051"/>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9"/>
      <c r="AV805" s="1050"/>
      <c r="AW805" s="1051"/>
      <c r="AX805" s="1051"/>
      <c r="AY805" s="1051"/>
      <c r="AZ805" s="1051"/>
      <c r="BA805" s="1051"/>
      <c r="BB805" s="1051"/>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9"/>
      <c r="AV806" s="1050"/>
      <c r="AW806" s="1051"/>
      <c r="AX806" s="1051"/>
      <c r="AY806" s="1051"/>
      <c r="AZ806" s="1051"/>
      <c r="BA806" s="1051"/>
      <c r="BB806" s="1051"/>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9"/>
      <c r="AV807" s="1050"/>
      <c r="AW807" s="1051"/>
      <c r="AX807" s="1051"/>
      <c r="AY807" s="1051"/>
      <c r="AZ807" s="1051"/>
      <c r="BA807" s="1051"/>
      <c r="BB807" s="1051"/>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9"/>
      <c r="AV808" s="1050"/>
      <c r="AW808" s="1051"/>
      <c r="AX808" s="1051"/>
      <c r="AY808" s="1051"/>
      <c r="AZ808" s="1051"/>
      <c r="BA808" s="1051"/>
      <c r="BB808" s="1051"/>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9"/>
      <c r="AV809" s="1050"/>
      <c r="AW809" s="1051"/>
      <c r="AX809" s="1051"/>
      <c r="AY809" s="1051"/>
      <c r="AZ809" s="1051"/>
      <c r="BA809" s="1051"/>
      <c r="BB809" s="1051"/>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9"/>
      <c r="AV810" s="1050"/>
      <c r="AW810" s="1051"/>
      <c r="AX810" s="1051"/>
      <c r="AY810" s="1051"/>
      <c r="AZ810" s="1051"/>
      <c r="BA810" s="1051"/>
      <c r="BB810" s="1051"/>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9"/>
      <c r="AV811" s="1050"/>
      <c r="AW811" s="1051"/>
      <c r="AX811" s="1051"/>
      <c r="AY811" s="1051"/>
      <c r="AZ811" s="1051"/>
      <c r="BA811" s="1051"/>
      <c r="BB811" s="1051"/>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9"/>
      <c r="AV812" s="1050"/>
      <c r="AW812" s="1051"/>
      <c r="AX812" s="1051"/>
      <c r="AY812" s="1051"/>
      <c r="AZ812" s="1051"/>
      <c r="BA812" s="1051"/>
      <c r="BB812" s="1051"/>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9"/>
      <c r="AV813" s="1050"/>
      <c r="AW813" s="1051"/>
      <c r="AX813" s="1051"/>
      <c r="AY813" s="1051"/>
      <c r="AZ813" s="1051"/>
      <c r="BA813" s="1051"/>
      <c r="BB813" s="1051"/>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9"/>
      <c r="AV814" s="1050"/>
      <c r="AW814" s="1051"/>
      <c r="AX814" s="1051"/>
      <c r="AY814" s="1051"/>
      <c r="AZ814" s="1051"/>
      <c r="BA814" s="1051"/>
      <c r="BB814" s="1051"/>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9"/>
      <c r="AV815" s="1050"/>
      <c r="AW815" s="1051"/>
      <c r="AX815" s="1051"/>
      <c r="AY815" s="1051"/>
      <c r="AZ815" s="1051"/>
      <c r="BA815" s="1051"/>
      <c r="BB815" s="1051"/>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9"/>
      <c r="AV816" s="1050"/>
      <c r="AW816" s="1051"/>
      <c r="AX816" s="1051"/>
      <c r="AY816" s="1051"/>
      <c r="AZ816" s="1051"/>
      <c r="BA816" s="1051"/>
      <c r="BB816" s="1051"/>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9"/>
      <c r="AV817" s="1050"/>
      <c r="AW817" s="1051"/>
      <c r="AX817" s="1051"/>
      <c r="AY817" s="1051"/>
      <c r="AZ817" s="1051"/>
      <c r="BA817" s="1051"/>
      <c r="BB817" s="1051"/>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9"/>
      <c r="AV818" s="1050"/>
      <c r="AW818" s="1051"/>
      <c r="AX818" s="1051"/>
      <c r="AY818" s="1051"/>
      <c r="AZ818" s="1051"/>
      <c r="BA818" s="1051"/>
      <c r="BB818" s="1051"/>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9"/>
      <c r="AV819" s="1050"/>
      <c r="AW819" s="1051"/>
      <c r="AX819" s="1051"/>
      <c r="AY819" s="1051"/>
      <c r="AZ819" s="1051"/>
      <c r="BA819" s="1051"/>
      <c r="BB819" s="1051"/>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9"/>
      <c r="AV820" s="1050"/>
      <c r="AW820" s="1051"/>
      <c r="AX820" s="1051"/>
      <c r="AY820" s="1051"/>
      <c r="AZ820" s="1051"/>
      <c r="BA820" s="1051"/>
      <c r="BB820" s="1051"/>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9"/>
      <c r="AV821" s="1050"/>
      <c r="AW821" s="1051"/>
      <c r="AX821" s="1051"/>
      <c r="AY821" s="1051"/>
      <c r="AZ821" s="1051"/>
      <c r="BA821" s="1051"/>
      <c r="BB821" s="1051"/>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9"/>
      <c r="AV822" s="1050"/>
      <c r="AW822" s="1051"/>
      <c r="AX822" s="1051"/>
      <c r="AY822" s="1051"/>
      <c r="AZ822" s="1051"/>
      <c r="BA822" s="1051"/>
      <c r="BB822" s="1051"/>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9"/>
      <c r="AV823" s="1050"/>
      <c r="AW823" s="1051"/>
      <c r="AX823" s="1051"/>
      <c r="AY823" s="1051"/>
      <c r="AZ823" s="1051"/>
      <c r="BA823" s="1051"/>
      <c r="BB823" s="1051"/>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9"/>
      <c r="AV824" s="1050"/>
      <c r="AW824" s="1051"/>
      <c r="AX824" s="1051"/>
      <c r="AY824" s="1051"/>
      <c r="AZ824" s="1051"/>
      <c r="BA824" s="1051"/>
      <c r="BB824" s="1051"/>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9"/>
      <c r="AV825" s="1050"/>
      <c r="AW825" s="1051"/>
      <c r="AX825" s="1051"/>
      <c r="AY825" s="1051"/>
      <c r="AZ825" s="1051"/>
      <c r="BA825" s="1051"/>
      <c r="BB825" s="1051"/>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9"/>
      <c r="AV826" s="1050"/>
      <c r="AW826" s="1051"/>
      <c r="AX826" s="1051"/>
      <c r="AY826" s="1051"/>
      <c r="AZ826" s="1051"/>
      <c r="BA826" s="1051"/>
      <c r="BB826" s="1051"/>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9"/>
      <c r="AV827" s="1050"/>
      <c r="AW827" s="1051"/>
      <c r="AX827" s="1051"/>
      <c r="AY827" s="1051"/>
      <c r="AZ827" s="1051"/>
      <c r="BA827" s="1051"/>
      <c r="BB827" s="1051"/>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9"/>
      <c r="AV828" s="1050"/>
      <c r="AW828" s="1051"/>
      <c r="AX828" s="1051"/>
      <c r="AY828" s="1051"/>
      <c r="AZ828" s="1051"/>
      <c r="BA828" s="1051"/>
      <c r="BB828" s="1051"/>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9"/>
      <c r="AV829" s="1050"/>
      <c r="AW829" s="1051"/>
      <c r="AX829" s="1051"/>
      <c r="AY829" s="1051"/>
      <c r="AZ829" s="1051"/>
      <c r="BA829" s="1051"/>
      <c r="BB829" s="1051"/>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9"/>
      <c r="AV830" s="1050"/>
      <c r="AW830" s="1051"/>
      <c r="AX830" s="1051"/>
      <c r="AY830" s="1051"/>
      <c r="AZ830" s="1051"/>
      <c r="BA830" s="1051"/>
      <c r="BB830" s="1051"/>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9"/>
      <c r="AV831" s="1050"/>
      <c r="AW831" s="1051"/>
      <c r="AX831" s="1051"/>
      <c r="AY831" s="1051"/>
      <c r="AZ831" s="1051"/>
      <c r="BA831" s="1051"/>
      <c r="BB831" s="1051"/>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9"/>
      <c r="AV832" s="1050"/>
      <c r="AW832" s="1051"/>
      <c r="AX832" s="1051"/>
      <c r="AY832" s="1051"/>
      <c r="AZ832" s="1051"/>
      <c r="BA832" s="1051"/>
      <c r="BB832" s="1051"/>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9"/>
      <c r="AV833" s="1050"/>
      <c r="AW833" s="1051"/>
      <c r="AX833" s="1051"/>
      <c r="AY833" s="1051"/>
      <c r="AZ833" s="1051"/>
      <c r="BA833" s="1051"/>
      <c r="BB833" s="1051"/>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9"/>
      <c r="AV834" s="1050"/>
      <c r="AW834" s="1051"/>
      <c r="AX834" s="1051"/>
      <c r="AY834" s="1051"/>
      <c r="AZ834" s="1051"/>
      <c r="BA834" s="1051"/>
      <c r="BB834" s="1051"/>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9"/>
      <c r="AV835" s="1050"/>
      <c r="AW835" s="1051"/>
      <c r="AX835" s="1051"/>
      <c r="AY835" s="1051"/>
      <c r="AZ835" s="1051"/>
      <c r="BA835" s="1051"/>
      <c r="BB835" s="1051"/>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9"/>
      <c r="AV836" s="1050"/>
      <c r="AW836" s="1051"/>
      <c r="AX836" s="1051"/>
      <c r="AY836" s="1051"/>
      <c r="AZ836" s="1051"/>
      <c r="BA836" s="1051"/>
      <c r="BB836" s="1051"/>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9"/>
      <c r="AV837" s="1050"/>
      <c r="AW837" s="1051"/>
      <c r="AX837" s="1051"/>
      <c r="AY837" s="1051"/>
      <c r="AZ837" s="1051"/>
      <c r="BA837" s="1051"/>
      <c r="BB837" s="1051"/>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9"/>
      <c r="AV838" s="1050"/>
      <c r="AW838" s="1051"/>
      <c r="AX838" s="1051"/>
      <c r="AY838" s="1051"/>
      <c r="AZ838" s="1051"/>
      <c r="BA838" s="1051"/>
      <c r="BB838" s="1051"/>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9"/>
      <c r="AV839" s="1050"/>
      <c r="AW839" s="1051"/>
      <c r="AX839" s="1051"/>
      <c r="AY839" s="1051"/>
      <c r="AZ839" s="1051"/>
      <c r="BA839" s="1051"/>
      <c r="BB839" s="1051"/>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9"/>
      <c r="AV840" s="1050"/>
      <c r="AW840" s="1051"/>
      <c r="AX840" s="1051"/>
      <c r="AY840" s="1051"/>
      <c r="AZ840" s="1051"/>
      <c r="BA840" s="1051"/>
      <c r="BB840" s="1051"/>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9"/>
      <c r="AV841" s="1050"/>
      <c r="AW841" s="1051"/>
      <c r="AX841" s="1051"/>
      <c r="AY841" s="1051"/>
      <c r="AZ841" s="1051"/>
      <c r="BA841" s="1051"/>
      <c r="BB841" s="1051"/>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9"/>
      <c r="AV842" s="1050"/>
      <c r="AW842" s="1051"/>
      <c r="AX842" s="1051"/>
      <c r="AY842" s="1051"/>
      <c r="AZ842" s="1051"/>
      <c r="BA842" s="1051"/>
      <c r="BB842" s="1051"/>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9"/>
      <c r="AV843" s="1050"/>
      <c r="AW843" s="1051"/>
      <c r="AX843" s="1051"/>
      <c r="AY843" s="1051"/>
      <c r="AZ843" s="1051"/>
      <c r="BA843" s="1051"/>
      <c r="BB843" s="1051"/>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9"/>
      <c r="AV844" s="1050"/>
      <c r="AW844" s="1051"/>
      <c r="AX844" s="1051"/>
      <c r="AY844" s="1051"/>
      <c r="AZ844" s="1051"/>
      <c r="BA844" s="1051"/>
      <c r="BB844" s="1051"/>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9"/>
      <c r="AV845" s="1050"/>
      <c r="AW845" s="1051"/>
      <c r="AX845" s="1051"/>
      <c r="AY845" s="1051"/>
      <c r="AZ845" s="1051"/>
      <c r="BA845" s="1051"/>
      <c r="BB845" s="1051"/>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9"/>
      <c r="AV846" s="1050"/>
      <c r="AW846" s="1051"/>
      <c r="AX846" s="1051"/>
      <c r="AY846" s="1051"/>
      <c r="AZ846" s="1051"/>
      <c r="BA846" s="1051"/>
      <c r="BB846" s="1051"/>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9"/>
      <c r="AV847" s="1050"/>
      <c r="AW847" s="1051"/>
      <c r="AX847" s="1051"/>
      <c r="AY847" s="1051"/>
      <c r="AZ847" s="1051"/>
      <c r="BA847" s="1051"/>
      <c r="BB847" s="1051"/>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9"/>
      <c r="AV848" s="1050"/>
      <c r="AW848" s="1051"/>
      <c r="AX848" s="1051"/>
      <c r="AY848" s="1051"/>
      <c r="AZ848" s="1051"/>
      <c r="BA848" s="1051"/>
      <c r="BB848" s="1051"/>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9"/>
      <c r="AV849" s="1050"/>
      <c r="AW849" s="1051"/>
      <c r="AX849" s="1051"/>
      <c r="AY849" s="1051"/>
      <c r="AZ849" s="1051"/>
      <c r="BA849" s="1051"/>
      <c r="BB849" s="1051"/>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9"/>
      <c r="AV850" s="1050"/>
      <c r="AW850" s="1051"/>
      <c r="AX850" s="1051"/>
      <c r="AY850" s="1051"/>
      <c r="AZ850" s="1051"/>
      <c r="BA850" s="1051"/>
      <c r="BB850" s="1051"/>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9"/>
      <c r="AV851" s="1050"/>
      <c r="AW851" s="1051"/>
      <c r="AX851" s="1051"/>
      <c r="AY851" s="1051"/>
      <c r="AZ851" s="1051"/>
      <c r="BA851" s="1051"/>
      <c r="BB851" s="1051"/>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9"/>
      <c r="AV852" s="1050"/>
      <c r="AW852" s="1051"/>
      <c r="AX852" s="1051"/>
      <c r="AY852" s="1051"/>
      <c r="AZ852" s="1051"/>
      <c r="BA852" s="1051"/>
      <c r="BB852" s="1051"/>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9"/>
      <c r="AV853" s="1050"/>
      <c r="AW853" s="1051"/>
      <c r="AX853" s="1051"/>
      <c r="AY853" s="1051"/>
      <c r="AZ853" s="1051"/>
      <c r="BA853" s="1051"/>
      <c r="BB853" s="1051"/>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9"/>
      <c r="AV854" s="1050"/>
      <c r="AW854" s="1051"/>
      <c r="AX854" s="1051"/>
      <c r="AY854" s="1051"/>
      <c r="AZ854" s="1051"/>
      <c r="BA854" s="1051"/>
      <c r="BB854" s="1051"/>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9"/>
      <c r="AV855" s="1050"/>
      <c r="AW855" s="1051"/>
      <c r="AX855" s="1051"/>
      <c r="AY855" s="1051"/>
      <c r="AZ855" s="1051"/>
      <c r="BA855" s="1051"/>
      <c r="BB855" s="1051"/>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9"/>
      <c r="AV856" s="1050"/>
      <c r="AW856" s="1051"/>
      <c r="AX856" s="1051"/>
      <c r="AY856" s="1051"/>
      <c r="AZ856" s="1051"/>
      <c r="BA856" s="1051"/>
      <c r="BB856" s="1051"/>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9"/>
      <c r="AV857" s="1050"/>
      <c r="AW857" s="1051"/>
      <c r="AX857" s="1051"/>
      <c r="AY857" s="1051"/>
      <c r="AZ857" s="1051"/>
      <c r="BA857" s="1051"/>
      <c r="BB857" s="1051"/>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9"/>
      <c r="AV858" s="1050"/>
      <c r="AW858" s="1051"/>
      <c r="AX858" s="1051"/>
      <c r="AY858" s="1051"/>
      <c r="AZ858" s="1051"/>
      <c r="BA858" s="1051"/>
      <c r="BB858" s="1051"/>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9"/>
      <c r="AV859" s="1050"/>
      <c r="AW859" s="1051"/>
      <c r="AX859" s="1051"/>
      <c r="AY859" s="1051"/>
      <c r="AZ859" s="1051"/>
      <c r="BA859" s="1051"/>
      <c r="BB859" s="1051"/>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9"/>
      <c r="AV860" s="1050"/>
      <c r="AW860" s="1051"/>
      <c r="AX860" s="1051"/>
      <c r="AY860" s="1051"/>
      <c r="AZ860" s="1051"/>
      <c r="BA860" s="1051"/>
      <c r="BB860" s="1051"/>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9"/>
      <c r="AV861" s="1050"/>
      <c r="AW861" s="1051"/>
      <c r="AX861" s="1051"/>
      <c r="AY861" s="1051"/>
      <c r="AZ861" s="1051"/>
      <c r="BA861" s="1051"/>
      <c r="BB861" s="1051"/>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9"/>
      <c r="AV862" s="1050"/>
      <c r="AW862" s="1051"/>
      <c r="AX862" s="1051"/>
      <c r="AY862" s="1051"/>
      <c r="AZ862" s="1051"/>
      <c r="BA862" s="1051"/>
      <c r="BB862" s="1051"/>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9"/>
      <c r="AV863" s="1050"/>
      <c r="AW863" s="1051"/>
      <c r="AX863" s="1051"/>
      <c r="AY863" s="1051"/>
      <c r="AZ863" s="1051"/>
      <c r="BA863" s="1051"/>
      <c r="BB863" s="1051"/>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9"/>
      <c r="AV864" s="1050"/>
      <c r="AW864" s="1051"/>
      <c r="AX864" s="1051"/>
      <c r="AY864" s="1051"/>
      <c r="AZ864" s="1051"/>
      <c r="BA864" s="1051"/>
      <c r="BB864" s="1051"/>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9"/>
      <c r="AV865" s="1050"/>
      <c r="AW865" s="1051"/>
      <c r="AX865" s="1051"/>
      <c r="AY865" s="1051"/>
      <c r="AZ865" s="1051"/>
      <c r="BA865" s="1051"/>
      <c r="BB865" s="1051"/>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9"/>
      <c r="AV866" s="1050"/>
      <c r="AW866" s="1051"/>
      <c r="AX866" s="1051"/>
      <c r="AY866" s="1051"/>
      <c r="AZ866" s="1051"/>
      <c r="BA866" s="1051"/>
      <c r="BB866" s="1051"/>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9"/>
      <c r="AV867" s="1050"/>
      <c r="AW867" s="1051"/>
      <c r="AX867" s="1051"/>
      <c r="AY867" s="1051"/>
      <c r="AZ867" s="1051"/>
      <c r="BA867" s="1051"/>
      <c r="BB867" s="1051"/>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9"/>
      <c r="AV868" s="1050"/>
      <c r="AW868" s="1051"/>
      <c r="AX868" s="1051"/>
      <c r="AY868" s="1051"/>
      <c r="AZ868" s="1051"/>
      <c r="BA868" s="1051"/>
      <c r="BB868" s="1051"/>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9"/>
      <c r="AV869" s="1050"/>
      <c r="AW869" s="1051"/>
      <c r="AX869" s="1051"/>
      <c r="AY869" s="1051"/>
      <c r="AZ869" s="1051"/>
      <c r="BA869" s="1051"/>
      <c r="BB869" s="1051"/>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9"/>
      <c r="AV870" s="1050"/>
      <c r="AW870" s="1051"/>
      <c r="AX870" s="1051"/>
      <c r="AY870" s="1051"/>
      <c r="AZ870" s="1051"/>
      <c r="BA870" s="1051"/>
      <c r="BB870" s="1051"/>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9"/>
      <c r="AV871" s="1050"/>
      <c r="AW871" s="1051"/>
      <c r="AX871" s="1051"/>
      <c r="AY871" s="1051"/>
      <c r="AZ871" s="1051"/>
      <c r="BA871" s="1051"/>
      <c r="BB871" s="1051"/>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9"/>
      <c r="AV872" s="1050"/>
      <c r="AW872" s="1051"/>
      <c r="AX872" s="1051"/>
      <c r="AY872" s="1051"/>
      <c r="AZ872" s="1051"/>
      <c r="BA872" s="1051"/>
      <c r="BB872" s="1051"/>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9"/>
      <c r="AV873" s="1050"/>
      <c r="AW873" s="1051"/>
      <c r="AX873" s="1051"/>
      <c r="AY873" s="1051"/>
      <c r="AZ873" s="1051"/>
      <c r="BA873" s="1051"/>
      <c r="BB873" s="1051"/>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9"/>
      <c r="AV874" s="1050"/>
      <c r="AW874" s="1051"/>
      <c r="AX874" s="1051"/>
      <c r="AY874" s="1051"/>
      <c r="AZ874" s="1051"/>
      <c r="BA874" s="1051"/>
      <c r="BB874" s="1051"/>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9"/>
      <c r="AV875" s="1050"/>
      <c r="AW875" s="1051"/>
      <c r="AX875" s="1051"/>
      <c r="AY875" s="1051"/>
      <c r="AZ875" s="1051"/>
      <c r="BA875" s="1051"/>
      <c r="BB875" s="1051"/>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9"/>
      <c r="AV876" s="1050"/>
      <c r="AW876" s="1051"/>
      <c r="AX876" s="1051"/>
      <c r="AY876" s="1051"/>
      <c r="AZ876" s="1051"/>
      <c r="BA876" s="1051"/>
      <c r="BB876" s="1051"/>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9"/>
      <c r="AV877" s="1050"/>
      <c r="AW877" s="1051"/>
      <c r="AX877" s="1051"/>
      <c r="AY877" s="1051"/>
      <c r="AZ877" s="1051"/>
      <c r="BA877" s="1051"/>
      <c r="BB877" s="1051"/>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9"/>
      <c r="AV878" s="1050"/>
      <c r="AW878" s="1051"/>
      <c r="AX878" s="1051"/>
      <c r="AY878" s="1051"/>
      <c r="AZ878" s="1051"/>
      <c r="BA878" s="1051"/>
      <c r="BB878" s="1051"/>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9"/>
      <c r="AV879" s="1050"/>
      <c r="AW879" s="1051"/>
      <c r="AX879" s="1051"/>
      <c r="AY879" s="1051"/>
      <c r="AZ879" s="1051"/>
      <c r="BA879" s="1051"/>
      <c r="BB879" s="1051"/>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9"/>
      <c r="AV880" s="1050"/>
      <c r="AW880" s="1051"/>
      <c r="AX880" s="1051"/>
      <c r="AY880" s="1051"/>
      <c r="AZ880" s="1051"/>
      <c r="BA880" s="1051"/>
      <c r="BB880" s="1051"/>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9"/>
      <c r="AV881" s="1050"/>
      <c r="AW881" s="1051"/>
      <c r="AX881" s="1051"/>
      <c r="AY881" s="1051"/>
      <c r="AZ881" s="1051"/>
      <c r="BA881" s="1051"/>
      <c r="BB881" s="1051"/>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9"/>
      <c r="AV882" s="1050"/>
      <c r="AW882" s="1051"/>
      <c r="AX882" s="1051"/>
      <c r="AY882" s="1051"/>
      <c r="AZ882" s="1051"/>
      <c r="BA882" s="1051"/>
      <c r="BB882" s="1051"/>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9"/>
      <c r="AV883" s="1050"/>
      <c r="AW883" s="1051"/>
      <c r="AX883" s="1051"/>
      <c r="AY883" s="1051"/>
      <c r="AZ883" s="1051"/>
      <c r="BA883" s="1051"/>
      <c r="BB883" s="1051"/>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9"/>
      <c r="AV884" s="1050"/>
      <c r="AW884" s="1051"/>
      <c r="AX884" s="1051"/>
      <c r="AY884" s="1051"/>
      <c r="AZ884" s="1051"/>
      <c r="BA884" s="1051"/>
      <c r="BB884" s="1051"/>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9"/>
      <c r="AV885" s="1050"/>
      <c r="AW885" s="1051"/>
      <c r="AX885" s="1051"/>
      <c r="AY885" s="1051"/>
      <c r="AZ885" s="1051"/>
      <c r="BA885" s="1051"/>
      <c r="BB885" s="1051"/>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9"/>
      <c r="AV886" s="1050"/>
      <c r="AW886" s="1051"/>
      <c r="AX886" s="1051"/>
      <c r="AY886" s="1051"/>
      <c r="AZ886" s="1051"/>
      <c r="BA886" s="1051"/>
      <c r="BB886" s="1051"/>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9"/>
      <c r="AV887" s="1050"/>
      <c r="AW887" s="1051"/>
      <c r="AX887" s="1051"/>
      <c r="AY887" s="1051"/>
      <c r="AZ887" s="1051"/>
      <c r="BA887" s="1051"/>
      <c r="BB887" s="1051"/>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9"/>
      <c r="AV888" s="1050"/>
      <c r="AW888" s="1051"/>
      <c r="AX888" s="1051"/>
      <c r="AY888" s="1051"/>
      <c r="AZ888" s="1051"/>
      <c r="BA888" s="1051"/>
      <c r="BB888" s="1051"/>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9"/>
      <c r="AV889" s="1050"/>
      <c r="AW889" s="1051"/>
      <c r="AX889" s="1051"/>
      <c r="AY889" s="1051"/>
      <c r="AZ889" s="1051"/>
      <c r="BA889" s="1051"/>
      <c r="BB889" s="1051"/>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9"/>
      <c r="AV890" s="1050"/>
      <c r="AW890" s="1051"/>
      <c r="AX890" s="1051"/>
      <c r="AY890" s="1051"/>
      <c r="AZ890" s="1051"/>
      <c r="BA890" s="1051"/>
      <c r="BB890" s="1051"/>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9"/>
      <c r="AV891" s="1050"/>
      <c r="AW891" s="1051"/>
      <c r="AX891" s="1051"/>
      <c r="AY891" s="1051"/>
      <c r="AZ891" s="1051"/>
      <c r="BA891" s="1051"/>
      <c r="BB891" s="1051"/>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9"/>
      <c r="AV892" s="1050"/>
      <c r="AW892" s="1051"/>
      <c r="AX892" s="1051"/>
      <c r="AY892" s="1051"/>
      <c r="AZ892" s="1051"/>
      <c r="BA892" s="1051"/>
      <c r="BB892" s="1051"/>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9"/>
      <c r="AV893" s="1050"/>
      <c r="AW893" s="1051"/>
      <c r="AX893" s="1051"/>
      <c r="AY893" s="1051"/>
      <c r="AZ893" s="1051"/>
      <c r="BA893" s="1051"/>
      <c r="BB893" s="1051"/>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9"/>
      <c r="AV894" s="1050"/>
      <c r="AW894" s="1051"/>
      <c r="AX894" s="1051"/>
      <c r="AY894" s="1051"/>
      <c r="AZ894" s="1051"/>
      <c r="BA894" s="1051"/>
      <c r="BB894" s="1051"/>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9"/>
      <c r="AV895" s="1050"/>
      <c r="AW895" s="1051"/>
      <c r="AX895" s="1051"/>
      <c r="AY895" s="1051"/>
      <c r="AZ895" s="1051"/>
      <c r="BA895" s="1051"/>
      <c r="BB895" s="1051"/>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9"/>
      <c r="AV896" s="1050"/>
      <c r="AW896" s="1051"/>
      <c r="AX896" s="1051"/>
      <c r="AY896" s="1051"/>
      <c r="AZ896" s="1051"/>
      <c r="BA896" s="1051"/>
      <c r="BB896" s="1051"/>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9"/>
      <c r="AV897" s="1050"/>
      <c r="AW897" s="1051"/>
      <c r="AX897" s="1051"/>
      <c r="AY897" s="1051"/>
      <c r="AZ897" s="1051"/>
      <c r="BA897" s="1051"/>
      <c r="BB897" s="1051"/>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9"/>
      <c r="AV898" s="1050"/>
      <c r="AW898" s="1051"/>
      <c r="AX898" s="1051"/>
      <c r="AY898" s="1051"/>
      <c r="AZ898" s="1051"/>
      <c r="BA898" s="1051"/>
      <c r="BB898" s="1051"/>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9"/>
      <c r="AV899" s="1050"/>
      <c r="AW899" s="1051"/>
      <c r="AX899" s="1051"/>
      <c r="AY899" s="1051"/>
      <c r="AZ899" s="1051"/>
      <c r="BA899" s="1051"/>
      <c r="BB899" s="1051"/>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9"/>
      <c r="AV900" s="1050"/>
      <c r="AW900" s="1051"/>
      <c r="AX900" s="1051"/>
      <c r="AY900" s="1051"/>
      <c r="AZ900" s="1051"/>
      <c r="BA900" s="1051"/>
      <c r="BB900" s="1051"/>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9"/>
      <c r="AV901" s="1050"/>
      <c r="AW901" s="1051"/>
      <c r="AX901" s="1051"/>
      <c r="AY901" s="1051"/>
      <c r="AZ901" s="1051"/>
      <c r="BA901" s="1051"/>
      <c r="BB901" s="1051"/>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9"/>
      <c r="AV902" s="1050"/>
      <c r="AW902" s="1051"/>
      <c r="AX902" s="1051"/>
      <c r="AY902" s="1051"/>
      <c r="AZ902" s="1051"/>
      <c r="BA902" s="1051"/>
      <c r="BB902" s="1051"/>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9"/>
      <c r="AV903" s="1050"/>
      <c r="AW903" s="1051"/>
      <c r="AX903" s="1051"/>
      <c r="AY903" s="1051"/>
      <c r="AZ903" s="1051"/>
      <c r="BA903" s="1051"/>
      <c r="BB903" s="1051"/>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9"/>
      <c r="AV904" s="1050"/>
      <c r="AW904" s="1051"/>
      <c r="AX904" s="1051"/>
      <c r="AY904" s="1051"/>
      <c r="AZ904" s="1051"/>
      <c r="BA904" s="1051"/>
      <c r="BB904" s="1051"/>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9"/>
      <c r="AV905" s="1050"/>
      <c r="AW905" s="1051"/>
      <c r="AX905" s="1051"/>
      <c r="AY905" s="1051"/>
      <c r="AZ905" s="1051"/>
      <c r="BA905" s="1051"/>
      <c r="BB905" s="1051"/>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9"/>
      <c r="AV906" s="1050"/>
      <c r="AW906" s="1051"/>
      <c r="AX906" s="1051"/>
      <c r="AY906" s="1051"/>
      <c r="AZ906" s="1051"/>
      <c r="BA906" s="1051"/>
      <c r="BB906" s="1051"/>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9"/>
      <c r="AV907" s="1050"/>
      <c r="AW907" s="1051"/>
      <c r="AX907" s="1051"/>
      <c r="AY907" s="1051"/>
      <c r="AZ907" s="1051"/>
      <c r="BA907" s="1051"/>
      <c r="BB907" s="1051"/>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9"/>
      <c r="AV908" s="1050"/>
      <c r="AW908" s="1051"/>
      <c r="AX908" s="1051"/>
      <c r="AY908" s="1051"/>
      <c r="AZ908" s="1051"/>
      <c r="BA908" s="1051"/>
      <c r="BB908" s="1051"/>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9"/>
      <c r="AV909" s="1050"/>
      <c r="AW909" s="1051"/>
      <c r="AX909" s="1051"/>
      <c r="AY909" s="1051"/>
      <c r="AZ909" s="1051"/>
      <c r="BA909" s="1051"/>
      <c r="BB909" s="1051"/>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9"/>
      <c r="AV910" s="1050"/>
      <c r="AW910" s="1051"/>
      <c r="AX910" s="1051"/>
      <c r="AY910" s="1051"/>
      <c r="AZ910" s="1051"/>
      <c r="BA910" s="1051"/>
      <c r="BB910" s="1051"/>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9"/>
      <c r="AV911" s="1050"/>
      <c r="AW911" s="1051"/>
      <c r="AX911" s="1051"/>
      <c r="AY911" s="1051"/>
      <c r="AZ911" s="1051"/>
      <c r="BA911" s="1051"/>
      <c r="BB911" s="1051"/>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9"/>
      <c r="AV912" s="1050"/>
      <c r="AW912" s="1051"/>
      <c r="AX912" s="1051"/>
      <c r="AY912" s="1051"/>
      <c r="AZ912" s="1051"/>
      <c r="BA912" s="1051"/>
      <c r="BB912" s="1051"/>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9"/>
      <c r="AV913" s="1050"/>
      <c r="AW913" s="1051"/>
      <c r="AX913" s="1051"/>
      <c r="AY913" s="1051"/>
      <c r="AZ913" s="1051"/>
      <c r="BA913" s="1051"/>
      <c r="BB913" s="1051"/>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9"/>
      <c r="AV914" s="1050"/>
      <c r="AW914" s="1051"/>
      <c r="AX914" s="1051"/>
      <c r="AY914" s="1051"/>
      <c r="AZ914" s="1051"/>
      <c r="BA914" s="1051"/>
      <c r="BB914" s="1051"/>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9"/>
      <c r="AV915" s="1050"/>
      <c r="AW915" s="1051"/>
      <c r="AX915" s="1051"/>
      <c r="AY915" s="1051"/>
      <c r="AZ915" s="1051"/>
      <c r="BA915" s="1051"/>
      <c r="BB915" s="1051"/>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9"/>
      <c r="AV916" s="1050"/>
      <c r="AW916" s="1051"/>
      <c r="AX916" s="1051"/>
      <c r="AY916" s="1051"/>
      <c r="AZ916" s="1051"/>
      <c r="BA916" s="1051"/>
      <c r="BB916" s="1051"/>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9"/>
      <c r="AV917" s="1050"/>
      <c r="AW917" s="1051"/>
      <c r="AX917" s="1051"/>
      <c r="AY917" s="1051"/>
      <c r="AZ917" s="1051"/>
      <c r="BA917" s="1051"/>
      <c r="BB917" s="1051"/>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9"/>
      <c r="AV918" s="1050"/>
      <c r="AW918" s="1051"/>
      <c r="AX918" s="1051"/>
      <c r="AY918" s="1051"/>
      <c r="AZ918" s="1051"/>
      <c r="BA918" s="1051"/>
      <c r="BB918" s="1051"/>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9"/>
      <c r="AV919" s="1050"/>
      <c r="AW919" s="1051"/>
      <c r="AX919" s="1051"/>
      <c r="AY919" s="1051"/>
      <c r="AZ919" s="1051"/>
      <c r="BA919" s="1051"/>
      <c r="BB919" s="1051"/>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9"/>
      <c r="AV920" s="1050"/>
      <c r="AW920" s="1051"/>
      <c r="AX920" s="1051"/>
      <c r="AY920" s="1051"/>
      <c r="AZ920" s="1051"/>
      <c r="BA920" s="1051"/>
      <c r="BB920" s="1051"/>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9"/>
      <c r="AV921" s="1050"/>
      <c r="AW921" s="1051"/>
      <c r="AX921" s="1051"/>
      <c r="AY921" s="1051"/>
      <c r="AZ921" s="1051"/>
      <c r="BA921" s="1051"/>
      <c r="BB921" s="1051"/>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9"/>
      <c r="AV922" s="1050"/>
      <c r="AW922" s="1051"/>
      <c r="AX922" s="1051"/>
      <c r="AY922" s="1051"/>
      <c r="AZ922" s="1051"/>
      <c r="BA922" s="1051"/>
      <c r="BB922" s="1051"/>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9"/>
      <c r="AV923" s="1050"/>
      <c r="AW923" s="1051"/>
      <c r="AX923" s="1051"/>
      <c r="AY923" s="1051"/>
      <c r="AZ923" s="1051"/>
      <c r="BA923" s="1051"/>
      <c r="BB923" s="1051"/>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9"/>
      <c r="AV924" s="1050"/>
      <c r="AW924" s="1051"/>
      <c r="AX924" s="1051"/>
      <c r="AY924" s="1051"/>
      <c r="AZ924" s="1051"/>
      <c r="BA924" s="1051"/>
      <c r="BB924" s="1051"/>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9"/>
      <c r="AV925" s="1050"/>
      <c r="AW925" s="1051"/>
      <c r="AX925" s="1051"/>
      <c r="AY925" s="1051"/>
      <c r="AZ925" s="1051"/>
      <c r="BA925" s="1051"/>
      <c r="BB925" s="1051"/>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9"/>
      <c r="AV926" s="1050"/>
      <c r="AW926" s="1051"/>
      <c r="AX926" s="1051"/>
      <c r="AY926" s="1051"/>
      <c r="AZ926" s="1051"/>
      <c r="BA926" s="1051"/>
      <c r="BB926" s="1051"/>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9"/>
      <c r="AV927" s="1050"/>
      <c r="AW927" s="1051"/>
      <c r="AX927" s="1051"/>
      <c r="AY927" s="1051"/>
      <c r="AZ927" s="1051"/>
      <c r="BA927" s="1051"/>
      <c r="BB927" s="1051"/>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9"/>
      <c r="AV928" s="1050"/>
      <c r="AW928" s="1051"/>
      <c r="AX928" s="1051"/>
      <c r="AY928" s="1051"/>
      <c r="AZ928" s="1051"/>
      <c r="BA928" s="1051"/>
      <c r="BB928" s="1051"/>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9"/>
      <c r="AV929" s="1050"/>
      <c r="AW929" s="1051"/>
      <c r="AX929" s="1051"/>
      <c r="AY929" s="1051"/>
      <c r="AZ929" s="1051"/>
      <c r="BA929" s="1051"/>
      <c r="BB929" s="1051"/>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9"/>
      <c r="AV930" s="1050"/>
      <c r="AW930" s="1051"/>
      <c r="AX930" s="1051"/>
      <c r="AY930" s="1051"/>
      <c r="AZ930" s="1051"/>
      <c r="BA930" s="1051"/>
      <c r="BB930" s="1051"/>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9"/>
      <c r="AV931" s="1050"/>
      <c r="AW931" s="1051"/>
      <c r="AX931" s="1051"/>
      <c r="AY931" s="1051"/>
      <c r="AZ931" s="1051"/>
      <c r="BA931" s="1051"/>
      <c r="BB931" s="1051"/>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9"/>
      <c r="AV932" s="1050"/>
      <c r="AW932" s="1051"/>
      <c r="AX932" s="1051"/>
      <c r="AY932" s="1051"/>
      <c r="AZ932" s="1051"/>
      <c r="BA932" s="1051"/>
      <c r="BB932" s="1051"/>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9"/>
      <c r="AV933" s="1050"/>
      <c r="AW933" s="1051"/>
      <c r="AX933" s="1051"/>
      <c r="AY933" s="1051"/>
      <c r="AZ933" s="1051"/>
      <c r="BA933" s="1051"/>
      <c r="BB933" s="1051"/>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9"/>
      <c r="AV934" s="1050"/>
      <c r="AW934" s="1051"/>
      <c r="AX934" s="1051"/>
      <c r="AY934" s="1051"/>
      <c r="AZ934" s="1051"/>
      <c r="BA934" s="1051"/>
      <c r="BB934" s="1051"/>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9"/>
      <c r="AV935" s="1050"/>
      <c r="AW935" s="1051"/>
      <c r="AX935" s="1051"/>
      <c r="AY935" s="1051"/>
      <c r="AZ935" s="1051"/>
      <c r="BA935" s="1051"/>
      <c r="BB935" s="1051"/>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9"/>
      <c r="AV936" s="1050"/>
      <c r="AW936" s="1051"/>
      <c r="AX936" s="1051"/>
      <c r="AY936" s="1051"/>
      <c r="AZ936" s="1051"/>
      <c r="BA936" s="1051"/>
      <c r="BB936" s="1051"/>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9"/>
      <c r="AV937" s="1050"/>
      <c r="AW937" s="1051"/>
      <c r="AX937" s="1051"/>
      <c r="AY937" s="1051"/>
      <c r="AZ937" s="1051"/>
      <c r="BA937" s="1051"/>
      <c r="BB937" s="1051"/>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9"/>
      <c r="AV938" s="1050"/>
      <c r="AW938" s="1051"/>
      <c r="AX938" s="1051"/>
      <c r="AY938" s="1051"/>
      <c r="AZ938" s="1051"/>
      <c r="BA938" s="1051"/>
      <c r="BB938" s="1051"/>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9"/>
      <c r="AV939" s="1050"/>
      <c r="AW939" s="1051"/>
      <c r="AX939" s="1051"/>
      <c r="AY939" s="1051"/>
      <c r="AZ939" s="1051"/>
      <c r="BA939" s="1051"/>
      <c r="BB939" s="1051"/>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9"/>
      <c r="AV940" s="1050"/>
      <c r="AW940" s="1051"/>
      <c r="AX940" s="1051"/>
      <c r="AY940" s="1051"/>
      <c r="AZ940" s="1051"/>
      <c r="BA940" s="1051"/>
      <c r="BB940" s="1051"/>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9"/>
      <c r="AV941" s="1050"/>
      <c r="AW941" s="1051"/>
      <c r="AX941" s="1051"/>
      <c r="AY941" s="1051"/>
      <c r="AZ941" s="1051"/>
      <c r="BA941" s="1051"/>
      <c r="BB941" s="1051"/>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9"/>
      <c r="AV942" s="1050"/>
      <c r="AW942" s="1051"/>
      <c r="AX942" s="1051"/>
      <c r="AY942" s="1051"/>
      <c r="AZ942" s="1051"/>
      <c r="BA942" s="1051"/>
      <c r="BB942" s="1051"/>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9"/>
      <c r="AV943" s="1050"/>
      <c r="AW943" s="1051"/>
      <c r="AX943" s="1051"/>
      <c r="AY943" s="1051"/>
      <c r="AZ943" s="1051"/>
      <c r="BA943" s="1051"/>
      <c r="BB943" s="1051"/>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9"/>
      <c r="AV944" s="1050"/>
      <c r="AW944" s="1051"/>
      <c r="AX944" s="1051"/>
      <c r="AY944" s="1051"/>
      <c r="AZ944" s="1051"/>
      <c r="BA944" s="1051"/>
      <c r="BB944" s="1051"/>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9"/>
      <c r="AV945" s="1050"/>
      <c r="AW945" s="1051"/>
      <c r="AX945" s="1051"/>
      <c r="AY945" s="1051"/>
      <c r="AZ945" s="1051"/>
      <c r="BA945" s="1051"/>
      <c r="BB945" s="1051"/>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9"/>
      <c r="AV946" s="1050"/>
      <c r="AW946" s="1051"/>
      <c r="AX946" s="1051"/>
      <c r="AY946" s="1051"/>
      <c r="AZ946" s="1051"/>
      <c r="BA946" s="1051"/>
      <c r="BB946" s="1051"/>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9"/>
      <c r="AV947" s="1050"/>
      <c r="AW947" s="1051"/>
      <c r="AX947" s="1051"/>
      <c r="AY947" s="1051"/>
      <c r="AZ947" s="1051"/>
      <c r="BA947" s="1051"/>
      <c r="BB947" s="1051"/>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9"/>
      <c r="AV948" s="1050"/>
      <c r="AW948" s="1051"/>
      <c r="AX948" s="1051"/>
      <c r="AY948" s="1051"/>
      <c r="AZ948" s="1051"/>
      <c r="BA948" s="1051"/>
      <c r="BB948" s="1051"/>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9"/>
      <c r="AV949" s="1050"/>
      <c r="AW949" s="1051"/>
      <c r="AX949" s="1051"/>
      <c r="AY949" s="1051"/>
      <c r="AZ949" s="1051"/>
      <c r="BA949" s="1051"/>
      <c r="BB949" s="1051"/>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9"/>
      <c r="AV950" s="1050"/>
      <c r="AW950" s="1051"/>
      <c r="AX950" s="1051"/>
      <c r="AY950" s="1051"/>
      <c r="AZ950" s="1051"/>
      <c r="BA950" s="1051"/>
      <c r="BB950" s="1051"/>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9"/>
      <c r="AV951" s="1050"/>
      <c r="AW951" s="1051"/>
      <c r="AX951" s="1051"/>
      <c r="AY951" s="1051"/>
      <c r="AZ951" s="1051"/>
      <c r="BA951" s="1051"/>
      <c r="BB951" s="1051"/>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9"/>
      <c r="AV952" s="1050"/>
      <c r="AW952" s="1051"/>
      <c r="AX952" s="1051"/>
      <c r="AY952" s="1051"/>
      <c r="AZ952" s="1051"/>
      <c r="BA952" s="1051"/>
      <c r="BB952" s="1051"/>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9"/>
      <c r="AV953" s="1050"/>
      <c r="AW953" s="1051"/>
      <c r="AX953" s="1051"/>
      <c r="AY953" s="1051"/>
      <c r="AZ953" s="1051"/>
      <c r="BA953" s="1051"/>
      <c r="BB953" s="1051"/>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9"/>
      <c r="AV954" s="1050"/>
      <c r="AW954" s="1051"/>
      <c r="AX954" s="1051"/>
      <c r="AY954" s="1051"/>
      <c r="AZ954" s="1051"/>
      <c r="BA954" s="1051"/>
      <c r="BB954" s="1051"/>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9"/>
      <c r="AV955" s="1050"/>
      <c r="AW955" s="1051"/>
      <c r="AX955" s="1051"/>
      <c r="AY955" s="1051"/>
      <c r="AZ955" s="1051"/>
      <c r="BA955" s="1051"/>
      <c r="BB955" s="1051"/>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9"/>
      <c r="AV956" s="1050"/>
      <c r="AW956" s="1051"/>
      <c r="AX956" s="1051"/>
      <c r="AY956" s="1051"/>
      <c r="AZ956" s="1051"/>
      <c r="BA956" s="1051"/>
      <c r="BB956" s="1051"/>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9"/>
      <c r="AV957" s="1050"/>
      <c r="AW957" s="1051"/>
      <c r="AX957" s="1051"/>
      <c r="AY957" s="1051"/>
      <c r="AZ957" s="1051"/>
      <c r="BA957" s="1051"/>
      <c r="BB957" s="1051"/>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9"/>
      <c r="AV958" s="1050"/>
      <c r="AW958" s="1051"/>
      <c r="AX958" s="1051"/>
      <c r="AY958" s="1051"/>
      <c r="AZ958" s="1051"/>
      <c r="BA958" s="1051"/>
      <c r="BB958" s="1051"/>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9"/>
      <c r="AV959" s="1050"/>
      <c r="AW959" s="1051"/>
      <c r="AX959" s="1051"/>
      <c r="AY959" s="1051"/>
      <c r="AZ959" s="1051"/>
      <c r="BA959" s="1051"/>
      <c r="BB959" s="1051"/>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9"/>
      <c r="AV960" s="1050"/>
      <c r="AW960" s="1051"/>
      <c r="AX960" s="1051"/>
      <c r="AY960" s="1051"/>
      <c r="AZ960" s="1051"/>
      <c r="BA960" s="1051"/>
      <c r="BB960" s="1051"/>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9"/>
      <c r="AV961" s="1050"/>
      <c r="AW961" s="1051"/>
      <c r="AX961" s="1051"/>
      <c r="AY961" s="1051"/>
      <c r="AZ961" s="1051"/>
      <c r="BA961" s="1051"/>
      <c r="BB961" s="1051"/>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9"/>
      <c r="AV962" s="1050"/>
      <c r="AW962" s="1051"/>
      <c r="AX962" s="1051"/>
      <c r="AY962" s="1051"/>
      <c r="AZ962" s="1051"/>
      <c r="BA962" s="1051"/>
      <c r="BB962" s="1051"/>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9"/>
      <c r="AV963" s="1050"/>
      <c r="AW963" s="1051"/>
      <c r="AX963" s="1051"/>
      <c r="AY963" s="1051"/>
      <c r="AZ963" s="1051"/>
      <c r="BA963" s="1051"/>
      <c r="BB963" s="1051"/>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9"/>
      <c r="AV964" s="1050"/>
      <c r="AW964" s="1051"/>
      <c r="AX964" s="1051"/>
      <c r="AY964" s="1051"/>
      <c r="AZ964" s="1051"/>
      <c r="BA964" s="1051"/>
      <c r="BB964" s="1051"/>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9"/>
      <c r="AV965" s="1050"/>
      <c r="AW965" s="1051"/>
      <c r="AX965" s="1051"/>
      <c r="AY965" s="1051"/>
      <c r="AZ965" s="1051"/>
      <c r="BA965" s="1051"/>
      <c r="BB965" s="1051"/>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9"/>
      <c r="AV966" s="1050"/>
      <c r="AW966" s="1051"/>
      <c r="AX966" s="1051"/>
      <c r="AY966" s="1051"/>
      <c r="AZ966" s="1051"/>
      <c r="BA966" s="1051"/>
      <c r="BB966" s="1051"/>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9"/>
      <c r="AV967" s="1050"/>
      <c r="AW967" s="1051"/>
      <c r="AX967" s="1051"/>
      <c r="AY967" s="1051"/>
      <c r="AZ967" s="1051"/>
      <c r="BA967" s="1051"/>
      <c r="BB967" s="1051"/>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9"/>
      <c r="AV968" s="1050"/>
      <c r="AW968" s="1051"/>
      <c r="AX968" s="1051"/>
      <c r="AY968" s="1051"/>
      <c r="AZ968" s="1051"/>
      <c r="BA968" s="1051"/>
      <c r="BB968" s="1051"/>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9"/>
      <c r="AV969" s="1050"/>
      <c r="AW969" s="1051"/>
      <c r="AX969" s="1051"/>
      <c r="AY969" s="1051"/>
      <c r="AZ969" s="1051"/>
      <c r="BA969" s="1051"/>
      <c r="BB969" s="1051"/>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9"/>
      <c r="AV970" s="1050"/>
      <c r="AW970" s="1051"/>
      <c r="AX970" s="1051"/>
      <c r="AY970" s="1051"/>
      <c r="AZ970" s="1051"/>
      <c r="BA970" s="1051"/>
      <c r="BB970" s="1051"/>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9"/>
      <c r="AV971" s="1050"/>
      <c r="AW971" s="1051"/>
      <c r="AX971" s="1051"/>
      <c r="AY971" s="1051"/>
      <c r="AZ971" s="1051"/>
      <c r="BA971" s="1051"/>
      <c r="BB971" s="1051"/>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9"/>
      <c r="AV972" s="1050"/>
      <c r="AW972" s="1051"/>
      <c r="AX972" s="1051"/>
      <c r="AY972" s="1051"/>
      <c r="AZ972" s="1051"/>
      <c r="BA972" s="1051"/>
      <c r="BB972" s="1051"/>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9"/>
      <c r="AV973" s="1050"/>
      <c r="AW973" s="1051"/>
      <c r="AX973" s="1051"/>
      <c r="AY973" s="1051"/>
      <c r="AZ973" s="1051"/>
      <c r="BA973" s="1051"/>
      <c r="BB973" s="1051"/>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9"/>
      <c r="AV974" s="1050"/>
      <c r="AW974" s="1051"/>
      <c r="AX974" s="1051"/>
      <c r="AY974" s="1051"/>
      <c r="AZ974" s="1051"/>
      <c r="BA974" s="1051"/>
      <c r="BB974" s="1051"/>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9"/>
      <c r="AV975" s="1050"/>
      <c r="AW975" s="1051"/>
      <c r="AX975" s="1051"/>
      <c r="AY975" s="1051"/>
      <c r="AZ975" s="1051"/>
      <c r="BA975" s="1051"/>
      <c r="BB975" s="1051"/>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9"/>
      <c r="AV976" s="1050"/>
      <c r="AW976" s="1051"/>
      <c r="AX976" s="1051"/>
      <c r="AY976" s="1051"/>
      <c r="AZ976" s="1051"/>
      <c r="BA976" s="1051"/>
      <c r="BB976" s="1051"/>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9"/>
      <c r="AV977" s="1050"/>
      <c r="AW977" s="1051"/>
      <c r="AX977" s="1051"/>
      <c r="AY977" s="1051"/>
      <c r="AZ977" s="1051"/>
      <c r="BA977" s="1051"/>
      <c r="BB977" s="1051"/>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9"/>
      <c r="AV978" s="1050"/>
      <c r="AW978" s="1051"/>
      <c r="AX978" s="1051"/>
      <c r="AY978" s="1051"/>
      <c r="AZ978" s="1051"/>
      <c r="BA978" s="1051"/>
      <c r="BB978" s="1051"/>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9"/>
      <c r="AV979" s="1050"/>
      <c r="AW979" s="1051"/>
      <c r="AX979" s="1051"/>
      <c r="AY979" s="1051"/>
      <c r="AZ979" s="1051"/>
      <c r="BA979" s="1051"/>
      <c r="BB979" s="1051"/>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9"/>
      <c r="AV980" s="1050"/>
      <c r="AW980" s="1051"/>
      <c r="AX980" s="1051"/>
      <c r="AY980" s="1051"/>
      <c r="AZ980" s="1051"/>
      <c r="BA980" s="1051"/>
      <c r="BB980" s="1051"/>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9"/>
      <c r="AV981" s="1050"/>
      <c r="AW981" s="1051"/>
      <c r="AX981" s="1051"/>
      <c r="AY981" s="1051"/>
      <c r="AZ981" s="1051"/>
      <c r="BA981" s="1051"/>
      <c r="BB981" s="1051"/>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9"/>
      <c r="AV982" s="1050"/>
      <c r="AW982" s="1051"/>
      <c r="AX982" s="1051"/>
      <c r="AY982" s="1051"/>
      <c r="AZ982" s="1051"/>
      <c r="BA982" s="1051"/>
      <c r="BB982" s="1051"/>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9"/>
      <c r="AV983" s="1050"/>
      <c r="AW983" s="1051"/>
      <c r="AX983" s="1051"/>
      <c r="AY983" s="1051"/>
      <c r="AZ983" s="1051"/>
      <c r="BA983" s="1051"/>
      <c r="BB983" s="1051"/>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9"/>
      <c r="AV984" s="1050"/>
      <c r="AW984" s="1051"/>
      <c r="AX984" s="1051"/>
      <c r="AY984" s="1051"/>
      <c r="AZ984" s="1051"/>
      <c r="BA984" s="1051"/>
      <c r="BB984" s="1051"/>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9"/>
      <c r="AV985" s="1050"/>
      <c r="AW985" s="1051"/>
      <c r="AX985" s="1051"/>
      <c r="AY985" s="1051"/>
      <c r="AZ985" s="1051"/>
      <c r="BA985" s="1051"/>
      <c r="BB985" s="1051"/>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9"/>
      <c r="AV986" s="1050"/>
      <c r="AW986" s="1051"/>
      <c r="AX986" s="1051"/>
      <c r="AY986" s="1051"/>
      <c r="AZ986" s="1051"/>
      <c r="BA986" s="1051"/>
      <c r="BB986" s="1051"/>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9"/>
      <c r="AV987" s="1050"/>
      <c r="AW987" s="1051"/>
      <c r="AX987" s="1051"/>
      <c r="AY987" s="1051"/>
      <c r="AZ987" s="1051"/>
      <c r="BA987" s="1051"/>
      <c r="BB987" s="1051"/>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9"/>
      <c r="AV988" s="1050"/>
      <c r="AW988" s="1051"/>
      <c r="AX988" s="1051"/>
      <c r="AY988" s="1051"/>
      <c r="AZ988" s="1051"/>
      <c r="BA988" s="1051"/>
      <c r="BB988" s="1051"/>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9"/>
      <c r="AV989" s="1050"/>
      <c r="AW989" s="1051"/>
      <c r="AX989" s="1051"/>
      <c r="AY989" s="1051"/>
      <c r="AZ989" s="1051"/>
      <c r="BA989" s="1051"/>
      <c r="BB989" s="1051"/>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9"/>
      <c r="AV990" s="1050"/>
      <c r="AW990" s="1051"/>
      <c r="AX990" s="1051"/>
      <c r="AY990" s="1051"/>
      <c r="AZ990" s="1051"/>
      <c r="BA990" s="1051"/>
      <c r="BB990" s="1051"/>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9"/>
      <c r="AV991" s="1050"/>
      <c r="AW991" s="1051"/>
      <c r="AX991" s="1051"/>
      <c r="AY991" s="1051"/>
      <c r="AZ991" s="1051"/>
      <c r="BA991" s="1051"/>
      <c r="BB991" s="1051"/>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9"/>
      <c r="AV992" s="1050"/>
      <c r="AW992" s="1051"/>
      <c r="AX992" s="1051"/>
      <c r="AY992" s="1051"/>
      <c r="AZ992" s="1051"/>
      <c r="BA992" s="1051"/>
      <c r="BB992" s="1051"/>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9"/>
      <c r="AV993" s="1050"/>
      <c r="AW993" s="1051"/>
      <c r="AX993" s="1051"/>
      <c r="AY993" s="1051"/>
      <c r="AZ993" s="1051"/>
      <c r="BA993" s="1051"/>
      <c r="BB993" s="1051"/>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9"/>
      <c r="AV994" s="1050"/>
      <c r="AW994" s="1051"/>
      <c r="AX994" s="1051"/>
      <c r="AY994" s="1051"/>
      <c r="AZ994" s="1051"/>
      <c r="BA994" s="1051"/>
      <c r="BB994" s="1051"/>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9"/>
      <c r="AV995" s="1050"/>
      <c r="AW995" s="1051"/>
      <c r="AX995" s="1051"/>
      <c r="AY995" s="1051"/>
      <c r="AZ995" s="1051"/>
      <c r="BA995" s="1051"/>
      <c r="BB995" s="1051"/>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9"/>
      <c r="AV996" s="1050"/>
      <c r="AW996" s="1051"/>
      <c r="AX996" s="1051"/>
      <c r="AY996" s="1051"/>
      <c r="AZ996" s="1051"/>
      <c r="BA996" s="1051"/>
      <c r="BB996" s="1051"/>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9"/>
      <c r="AV997" s="1050"/>
      <c r="AW997" s="1051"/>
      <c r="AX997" s="1051"/>
      <c r="AY997" s="1051"/>
      <c r="AZ997" s="1051"/>
      <c r="BA997" s="1051"/>
      <c r="BB997" s="1051"/>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9"/>
      <c r="AV998" s="1050"/>
      <c r="AW998" s="1051"/>
      <c r="AX998" s="1051"/>
      <c r="AY998" s="1051"/>
      <c r="AZ998" s="1051"/>
      <c r="BA998" s="1051"/>
      <c r="BB998" s="1051"/>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9"/>
      <c r="AV999" s="1050"/>
      <c r="AW999" s="1051"/>
      <c r="AX999" s="1051"/>
      <c r="AY999" s="1051"/>
      <c r="AZ999" s="1051"/>
      <c r="BA999" s="1051"/>
      <c r="BB999" s="1051"/>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2" t="s">
        <v>1007</v>
      </c>
    </row>
    <row r="3">
      <c r="A3" s="929">
        <v>2.0</v>
      </c>
      <c r="B3" s="1053">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4"/>
      <c r="AH3" s="1054"/>
    </row>
    <row r="4">
      <c r="A4" s="929">
        <v>3.0</v>
      </c>
      <c r="B4" s="1055">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29">
        <v>4.0</v>
      </c>
      <c r="B5" s="1055">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29">
        <v>5.0</v>
      </c>
      <c r="B6" s="1055" t="str">
        <f>IFERROR(__xludf.DUMMYFUNCTION("iferror(IMPORTRANGE('①R8_5集計'!$AT$9, ""日別集計!D5:AH5""),""ファイルなし"")"),"ファイルなし")</f>
        <v>ファイルなし</v>
      </c>
    </row>
    <row r="7">
      <c r="A7" s="929">
        <v>6.0</v>
      </c>
      <c r="B7" s="1055" t="str">
        <f>IFERROR(__xludf.DUMMYFUNCTION("iferror(IMPORTRANGE('①R8_6集計'!$AT$9, ""日別集計!D5:AH5""),""ファイルなし"")"),"ファイルなし")</f>
        <v>ファイルなし</v>
      </c>
    </row>
    <row r="8">
      <c r="A8" s="929">
        <v>7.0</v>
      </c>
      <c r="B8" s="1055" t="str">
        <f>IFERROR(__xludf.DUMMYFUNCTION("iferror(IMPORTRANGE('①R8_7集計'!$AT$9, ""日別集計!D5:AH5""),""ファイルなし"")"),"ファイルなし")</f>
        <v>ファイルなし</v>
      </c>
    </row>
    <row r="9">
      <c r="A9" s="929">
        <v>8.0</v>
      </c>
      <c r="B9" s="1055" t="str">
        <f>IFERROR(__xludf.DUMMYFUNCTION("iferror(IMPORTRANGE('①R8_8集計'!$AT$9, ""日別集計!D5:AH5""),""ファイルなし"")"),"ファイルなし")</f>
        <v>ファイルなし</v>
      </c>
    </row>
    <row r="10">
      <c r="A10" s="929">
        <v>9.0</v>
      </c>
      <c r="B10" s="1055" t="str">
        <f>IFERROR(__xludf.DUMMYFUNCTION("iferror(IMPORTRANGE('①R8_9集計'!$AT$9, ""日別集計!D5:AH5""),""ファイルなし"")"),"ファイルなし")</f>
        <v>ファイルなし</v>
      </c>
      <c r="E10" s="1054"/>
      <c r="F10" s="1054"/>
      <c r="G10" s="1054"/>
      <c r="H10" s="1054"/>
      <c r="I10" s="1054"/>
      <c r="J10" s="1054"/>
      <c r="K10" s="1054"/>
      <c r="L10" s="1054"/>
      <c r="M10" s="1054"/>
      <c r="N10" s="1054"/>
      <c r="O10" s="1054"/>
      <c r="P10" s="1054"/>
      <c r="Q10" s="1054"/>
      <c r="R10" s="1054"/>
      <c r="S10" s="1054"/>
      <c r="T10" s="1054"/>
      <c r="U10" s="1054"/>
      <c r="V10" s="1054"/>
      <c r="W10" s="1054"/>
      <c r="X10" s="1054"/>
      <c r="Y10" s="1054"/>
      <c r="Z10" s="1054"/>
      <c r="AA10" s="1054"/>
      <c r="AB10" s="1054"/>
      <c r="AC10" s="1054"/>
      <c r="AD10" s="1054"/>
      <c r="AE10" s="1054"/>
      <c r="AF10" s="1054"/>
    </row>
    <row r="11">
      <c r="A11" s="929">
        <v>10.0</v>
      </c>
      <c r="B11" s="1055" t="str">
        <f>IFERROR(__xludf.DUMMYFUNCTION("iferror(IMPORTRANGE('①R8_10集計'!$AT$9, ""日別集計!D5:AH5""),""ファイルなし"")"),"ファイルなし")</f>
        <v>ファイルなし</v>
      </c>
    </row>
    <row r="12">
      <c r="A12" s="929">
        <v>11.0</v>
      </c>
      <c r="B12" s="1055" t="str">
        <f>IFERROR(__xludf.DUMMYFUNCTION("iferror(IMPORTRANGE('①R8_11集計'!$AT$9, ""日別集計!D5:AH5""),""ファイルなし"")"),"ファイルなし")</f>
        <v>ファイルなし</v>
      </c>
    </row>
    <row r="13">
      <c r="A13" s="929">
        <v>12.0</v>
      </c>
      <c r="B13" s="1055" t="str">
        <f>IFERROR(__xludf.DUMMYFUNCTION("iferror(IMPORTRANGE('①R8_12集計'!$AT$9, ""日別集計!D5:AH5""),""ファイルなし"")"),"ファイルなし")</f>
        <v>ファイルなし</v>
      </c>
    </row>
    <row r="14">
      <c r="A14" s="929">
        <v>1.0</v>
      </c>
      <c r="B14" s="1055" t="str">
        <f>IFERROR(__xludf.DUMMYFUNCTION("iferror(IMPORTRANGE('①R9_1集計'!$AT$9, ""日別集計!D5:AH5""),""ファイルなし"")"),"ファイルなし")</f>
        <v>ファイルなし</v>
      </c>
    </row>
    <row r="20">
      <c r="B20" s="1056"/>
    </row>
    <row r="21">
      <c r="B21" s="1056"/>
    </row>
    <row r="22">
      <c r="B22" s="1056"/>
    </row>
    <row r="23">
      <c r="B23" s="1056"/>
    </row>
    <row r="30">
      <c r="B30" s="1057" t="s">
        <v>1008</v>
      </c>
      <c r="C30" s="232"/>
      <c r="D30" s="232"/>
      <c r="E30" s="232"/>
      <c r="F30" s="235"/>
    </row>
    <row r="31">
      <c r="B31" s="1058" t="s">
        <v>1009</v>
      </c>
      <c r="C31" s="1059" t="s">
        <v>293</v>
      </c>
      <c r="D31" s="1059" t="s">
        <v>294</v>
      </c>
      <c r="E31" s="1059" t="s">
        <v>945</v>
      </c>
      <c r="F31" s="1060" t="s">
        <v>291</v>
      </c>
    </row>
    <row r="32">
      <c r="B32" s="1061">
        <v>31.0</v>
      </c>
      <c r="C32" s="1062">
        <v>0.65</v>
      </c>
      <c r="D32" s="1063">
        <v>1.2877428E7</v>
      </c>
      <c r="E32" s="1063">
        <v>3394094.0</v>
      </c>
      <c r="F32" s="1064">
        <f t="shared" ref="F32:F43" si="1">E32/D32</f>
        <v>0.2635692469</v>
      </c>
    </row>
    <row r="33">
      <c r="B33" s="1061">
        <v>31.0</v>
      </c>
      <c r="C33" s="1062">
        <v>0.7</v>
      </c>
      <c r="D33" s="1063">
        <v>1.3714056E7</v>
      </c>
      <c r="E33" s="1063">
        <v>3684254.0</v>
      </c>
      <c r="F33" s="1064">
        <f t="shared" si="1"/>
        <v>0.2686480207</v>
      </c>
    </row>
    <row r="34">
      <c r="B34" s="1061">
        <v>31.0</v>
      </c>
      <c r="C34" s="1062">
        <v>0.75</v>
      </c>
      <c r="D34" s="1063">
        <v>1.4550684E7</v>
      </c>
      <c r="E34" s="1063">
        <v>3974414.0</v>
      </c>
      <c r="F34" s="1064">
        <f t="shared" si="1"/>
        <v>0.2731427608</v>
      </c>
    </row>
    <row r="35">
      <c r="B35" s="1061">
        <v>31.0</v>
      </c>
      <c r="C35" s="1062">
        <v>0.8</v>
      </c>
      <c r="D35" s="1063">
        <v>1.5387312E7</v>
      </c>
      <c r="E35" s="1063">
        <v>4264574.0</v>
      </c>
      <c r="F35" s="1064">
        <f t="shared" si="1"/>
        <v>0.2771487314</v>
      </c>
    </row>
    <row r="36">
      <c r="B36" s="1061">
        <v>30.0</v>
      </c>
      <c r="C36" s="1062">
        <v>0.65</v>
      </c>
      <c r="D36" s="1063">
        <v>1.248912E7</v>
      </c>
      <c r="E36" s="1063">
        <v>3272950.0</v>
      </c>
      <c r="F36" s="1064">
        <f t="shared" si="1"/>
        <v>0.2620641006</v>
      </c>
    </row>
    <row r="37">
      <c r="B37" s="1061">
        <v>30.0</v>
      </c>
      <c r="C37" s="1062">
        <v>0.7</v>
      </c>
      <c r="D37" s="1063">
        <v>1.329876E7</v>
      </c>
      <c r="E37" s="1063">
        <v>3553750.0</v>
      </c>
      <c r="F37" s="1064">
        <f t="shared" si="1"/>
        <v>0.2672241623</v>
      </c>
    </row>
    <row r="38">
      <c r="B38" s="1061">
        <v>30.0</v>
      </c>
      <c r="C38" s="1062">
        <v>0.75</v>
      </c>
      <c r="D38" s="1063">
        <v>1.410804E7</v>
      </c>
      <c r="E38" s="1063">
        <v>3834550.0</v>
      </c>
      <c r="F38" s="1064">
        <f t="shared" si="1"/>
        <v>0.2717989175</v>
      </c>
    </row>
    <row r="39">
      <c r="B39" s="1061">
        <v>30.0</v>
      </c>
      <c r="C39" s="1062">
        <v>0.8</v>
      </c>
      <c r="D39" s="1063">
        <v>1.491804E7</v>
      </c>
      <c r="E39" s="1063">
        <v>4115350.0</v>
      </c>
      <c r="F39" s="1064">
        <f t="shared" si="1"/>
        <v>0.2758639875</v>
      </c>
    </row>
    <row r="40">
      <c r="B40" s="1061">
        <v>28.0</v>
      </c>
      <c r="C40" s="1062">
        <v>0.65</v>
      </c>
      <c r="D40" s="1063">
        <v>1.1712504E7</v>
      </c>
      <c r="E40" s="1063">
        <v>3030662.0</v>
      </c>
      <c r="F40" s="1064">
        <f t="shared" si="1"/>
        <v>0.2587544047</v>
      </c>
    </row>
    <row r="41">
      <c r="B41" s="1061">
        <v>28.0</v>
      </c>
      <c r="C41" s="1062">
        <v>0.7</v>
      </c>
      <c r="D41" s="1063">
        <v>1.2468168E7</v>
      </c>
      <c r="E41" s="1063">
        <v>3292742.0</v>
      </c>
      <c r="F41" s="1064">
        <f t="shared" si="1"/>
        <v>0.2640918858</v>
      </c>
    </row>
    <row r="42">
      <c r="B42" s="1061">
        <v>28.0</v>
      </c>
      <c r="C42" s="1062">
        <v>0.75</v>
      </c>
      <c r="D42" s="1063">
        <v>1.3223832E7</v>
      </c>
      <c r="E42" s="1063">
        <v>3554822.0</v>
      </c>
      <c r="F42" s="1064">
        <f t="shared" si="1"/>
        <v>0.2688193558</v>
      </c>
    </row>
    <row r="43">
      <c r="B43" s="1061">
        <v>28.0</v>
      </c>
      <c r="C43" s="1062">
        <v>0.8</v>
      </c>
      <c r="D43" s="1063">
        <v>1.3979496E7</v>
      </c>
      <c r="E43" s="1063">
        <v>3816902.0</v>
      </c>
      <c r="F43" s="1064">
        <f t="shared" si="1"/>
        <v>0.2730357375</v>
      </c>
    </row>
    <row r="44">
      <c r="B44" s="1056"/>
      <c r="D44" s="1065" t="s">
        <v>1010</v>
      </c>
      <c r="E44" s="1065" t="s">
        <v>1010</v>
      </c>
      <c r="F44" s="1065" t="s">
        <v>1010</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6">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290</v>
      </c>
      <c r="C6" s="1067" t="s">
        <v>291</v>
      </c>
      <c r="D6" s="85"/>
      <c r="E6" s="1068" t="s">
        <v>292</v>
      </c>
      <c r="F6" s="69"/>
      <c r="G6" s="1069" t="s">
        <v>293</v>
      </c>
      <c r="H6" s="1070" t="s">
        <v>294</v>
      </c>
      <c r="I6" s="1069" t="s">
        <v>295</v>
      </c>
      <c r="J6" s="1069" t="s">
        <v>296</v>
      </c>
      <c r="K6" s="297" t="s">
        <v>297</v>
      </c>
      <c r="L6" s="300" t="s">
        <v>298</v>
      </c>
      <c r="M6" s="107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2" t="s">
        <v>111</v>
      </c>
      <c r="L7" s="1072"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1011</v>
      </c>
      <c r="BG7" s="323"/>
      <c r="BL7" s="310"/>
    </row>
    <row r="8" ht="15.75" customHeight="1" outlineLevel="1">
      <c r="B8" s="324" t="s">
        <v>304</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305</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3"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IFERROR(__xludf.DUMMYFUNCTION("IMPORTRANGE(""https://docs.google.com/spreadsheets/d/1QbHfX9wvC_RRupa4CCe_ZxA6O4e2Ap9vqX5hrZPeQRg/edit?gid=284905409#gid=284905409"",""date2_1!B11"")/G5*COUNTIFS($E$13:$E$43,""&gt;0"")+sum(AZ14:BA19)"),0.0)</f>
        <v>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5" t="s">
        <v>376</v>
      </c>
      <c r="AZ30" s="414">
        <f>AS46</f>
        <v>0</v>
      </c>
      <c r="BA30" s="426" t="s">
        <v>111</v>
      </c>
      <c r="BB30" s="412">
        <f>SUM(AZ30:AZ36)</f>
        <v>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30" t="s">
        <v>380</v>
      </c>
      <c r="AZ31" s="414">
        <f t="shared" ref="AZ31:AZ34" si="9">BA31/$G$5*COUNTIFS($E$13:$E$43,"&gt;0")</f>
        <v>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30" t="s">
        <v>382</v>
      </c>
      <c r="AZ32" s="414">
        <f t="shared" si="9"/>
        <v>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30" t="s">
        <v>384</v>
      </c>
      <c r="AZ33" s="414">
        <f t="shared" si="9"/>
        <v>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30" t="s">
        <v>386</v>
      </c>
      <c r="AZ34" s="414">
        <f t="shared" si="9"/>
        <v>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397"/>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371" t="str">
        <f t="shared" si="3"/>
        <v/>
      </c>
      <c r="F36" s="372" t="str">
        <f t="shared" si="4"/>
        <v/>
      </c>
      <c r="G36" s="397"/>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30" t="s">
        <v>387</v>
      </c>
      <c r="AZ36" s="393">
        <f>BB40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397"/>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t="str">
        <f t="shared" si="3"/>
        <v/>
      </c>
      <c r="F38" s="372" t="str">
        <f t="shared" si="4"/>
        <v/>
      </c>
      <c r="G38" s="397"/>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397"/>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t="str">
        <f t="shared" si="3"/>
        <v/>
      </c>
      <c r="F40" s="372" t="str">
        <f t="shared" si="4"/>
        <v/>
      </c>
      <c r="G40" s="397"/>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4"/>
      <c r="AZ40" s="414"/>
      <c r="BA40" s="1075"/>
      <c r="BB40" s="412">
        <f>SUM(AZ40:AZ45)</f>
        <v>0</v>
      </c>
      <c r="BC40" s="281"/>
      <c r="BD40" s="1076"/>
      <c r="BE40" s="414"/>
      <c r="BF40" s="1077"/>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397"/>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397"/>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1012</v>
      </c>
      <c r="O2" s="498"/>
      <c r="P2" s="499"/>
      <c r="Q2" s="500"/>
      <c r="R2" s="500"/>
      <c r="S2" s="501"/>
      <c r="T2" s="500"/>
      <c r="U2" s="500"/>
      <c r="V2" s="500"/>
      <c r="W2" s="500"/>
      <c r="X2" s="500"/>
      <c r="Y2" s="502"/>
      <c r="Z2" s="266"/>
      <c r="AA2" s="266"/>
      <c r="AB2" s="266"/>
      <c r="AC2" s="266"/>
      <c r="AD2" s="266"/>
      <c r="AE2" s="266"/>
      <c r="AF2" s="503"/>
      <c r="AG2" s="504"/>
      <c r="AH2" s="505"/>
      <c r="AI2" s="506" t="s">
        <v>1013</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765</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8"/>
      <c r="BK4" s="235"/>
      <c r="BL4" s="527">
        <v>46143.0</v>
      </c>
      <c r="BT4" s="490"/>
      <c r="BU4" s="490"/>
      <c r="BV4" s="490"/>
      <c r="BW4" s="490"/>
      <c r="BX4" s="490"/>
    </row>
    <row r="5" ht="19.5" customHeight="1">
      <c r="A5" s="493"/>
      <c r="B5" s="552" t="s">
        <v>421</v>
      </c>
      <c r="C5" s="553"/>
      <c r="D5" s="493"/>
      <c r="E5" s="554" t="s">
        <v>422</v>
      </c>
      <c r="F5" s="553"/>
      <c r="G5" s="493"/>
      <c r="H5" s="493"/>
      <c r="I5" s="555" t="b">
        <v>0</v>
      </c>
      <c r="J5" s="2"/>
      <c r="K5" s="556"/>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631</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46124</v>
      </c>
      <c r="C7" s="576"/>
      <c r="D7" s="493"/>
      <c r="E7" s="577">
        <f>today()+1</f>
        <v>46125</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日</v>
      </c>
      <c r="D8" s="112"/>
      <c r="E8" s="591" t="s">
        <v>310</v>
      </c>
      <c r="F8" s="592" t="str">
        <f>TEXT(E7,"ddd")</f>
        <v>月</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575</v>
      </c>
      <c r="G9" s="702" t="s">
        <v>576</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491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idden="1" outlineLevel="1">
      <c r="B19" s="717"/>
      <c r="C19" s="676"/>
      <c r="D19" s="676"/>
      <c r="E19" s="676"/>
      <c r="F19" s="718" t="s">
        <v>552</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495</v>
      </c>
      <c r="W19" s="695"/>
      <c r="X19" s="696">
        <v>46388.0</v>
      </c>
      <c r="Y19" s="640"/>
      <c r="Z19" s="640"/>
    </row>
    <row r="20" hidden="1" outlineLevel="1">
      <c r="A20" s="640"/>
      <c r="B20" s="722"/>
      <c r="C20" s="723">
        <f>IF(C9="","",IF(DAY(C9+1)=1,"",C9+1))</f>
        <v>46055</v>
      </c>
      <c r="D20" s="724" t="str">
        <f>TEXT(C20,"ddd")</f>
        <v>月</v>
      </c>
      <c r="E20" s="725"/>
      <c r="F20" s="726" t="s">
        <v>575</v>
      </c>
      <c r="G20" s="727" t="s">
        <v>576</v>
      </c>
      <c r="H20" s="728"/>
      <c r="I20" s="729">
        <v>0.0</v>
      </c>
      <c r="J20" s="1079"/>
      <c r="K20" s="1079"/>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499</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668</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653</v>
      </c>
      <c r="W29" s="640"/>
      <c r="X29" s="735"/>
      <c r="Y29" s="640"/>
      <c r="Z29" s="640"/>
    </row>
    <row r="30" hidden="1" outlineLevel="1">
      <c r="A30" s="640"/>
      <c r="B30" s="717"/>
      <c r="C30" s="676"/>
      <c r="D30" s="676"/>
      <c r="E30" s="676"/>
      <c r="F30" s="736" t="s">
        <v>552</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501</v>
      </c>
      <c r="W30" s="640"/>
      <c r="X30" s="735"/>
      <c r="Y30" s="640"/>
      <c r="Z30" s="640"/>
    </row>
    <row r="31" hidden="1" outlineLevel="1">
      <c r="A31" s="640"/>
      <c r="B31" s="739"/>
      <c r="C31" s="740">
        <f>IF(C20="","",IF(DAY(C20+1)=1,"",C20+1))</f>
        <v>46056</v>
      </c>
      <c r="D31" s="741" t="str">
        <f>TEXT(C31,"ddd")</f>
        <v>火</v>
      </c>
      <c r="E31" s="742"/>
      <c r="F31" s="743" t="s">
        <v>575</v>
      </c>
      <c r="G31" s="744" t="s">
        <v>576</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669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488</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670</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654</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503</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672</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657</v>
      </c>
      <c r="W40" s="640"/>
      <c r="X40" s="735"/>
      <c r="Y40" s="640"/>
      <c r="Z40" s="640"/>
    </row>
    <row r="41" hidden="1" outlineLevel="1">
      <c r="A41" s="640"/>
      <c r="B41" s="717"/>
      <c r="C41" s="676"/>
      <c r="D41" s="676"/>
      <c r="E41" s="676"/>
      <c r="F41" s="718" t="s">
        <v>552</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idden="1" outlineLevel="1">
      <c r="A42" s="640"/>
      <c r="B42" s="722"/>
      <c r="C42" s="723">
        <f>IF(C31="","",IF(DAY(C31+1)=1,"",C31+1))</f>
        <v>46057</v>
      </c>
      <c r="D42" s="724" t="str">
        <f>TEXT(C42,"ddd")</f>
        <v>水</v>
      </c>
      <c r="E42" s="725"/>
      <c r="F42" s="752" t="s">
        <v>575</v>
      </c>
      <c r="G42" s="753" t="s">
        <v>576</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658</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508</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674</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510</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640</v>
      </c>
      <c r="W51" s="640"/>
      <c r="X51" s="735"/>
      <c r="Y51" s="640"/>
      <c r="Z51" s="640"/>
    </row>
    <row r="52" hidden="1" outlineLevel="1">
      <c r="A52" s="640"/>
      <c r="B52" s="717"/>
      <c r="C52" s="676"/>
      <c r="D52" s="676"/>
      <c r="E52" s="676"/>
      <c r="F52" s="736" t="s">
        <v>552</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509</v>
      </c>
      <c r="W52" s="640"/>
      <c r="X52" s="735"/>
      <c r="Y52" s="640"/>
      <c r="Z52" s="640"/>
    </row>
    <row r="53" hidden="1" outlineLevel="1">
      <c r="A53" s="640"/>
      <c r="B53" s="739"/>
      <c r="C53" s="740">
        <f>IF(C42="","",IF(DAY(C42+1)=1,"",C42+1))</f>
        <v>46058</v>
      </c>
      <c r="D53" s="741" t="str">
        <f>TEXT(C53,"ddd")</f>
        <v>木</v>
      </c>
      <c r="E53" s="742"/>
      <c r="F53" s="743" t="s">
        <v>575</v>
      </c>
      <c r="G53" s="744" t="s">
        <v>576</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518</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513</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514</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515</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675</v>
      </c>
      <c r="W62" s="640"/>
      <c r="X62" s="735"/>
      <c r="Y62" s="640"/>
      <c r="Z62" s="640"/>
    </row>
    <row r="63" hidden="1" outlineLevel="1">
      <c r="A63" s="640"/>
      <c r="B63" s="717"/>
      <c r="C63" s="676"/>
      <c r="D63" s="676"/>
      <c r="E63" s="676"/>
      <c r="F63" s="718" t="s">
        <v>552</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517</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516</v>
      </c>
      <c r="W64" s="640"/>
      <c r="X64" s="735"/>
      <c r="Y64" s="640"/>
      <c r="Z64" s="640"/>
    </row>
    <row r="65" hidden="1" outlineLevel="1">
      <c r="A65" s="640"/>
      <c r="B65" s="722"/>
      <c r="C65" s="723">
        <f>IF(C53="","",IF(DAY(C53+1)=1,"",C53+1))</f>
        <v>46059</v>
      </c>
      <c r="D65" s="724" t="str">
        <f>TEXT(C65,"ddd")</f>
        <v>金</v>
      </c>
      <c r="E65" s="725"/>
      <c r="F65" s="752" t="s">
        <v>575</v>
      </c>
      <c r="G65" s="753" t="s">
        <v>576</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676</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552</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575</v>
      </c>
      <c r="G76" s="744" t="s">
        <v>576</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552</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575</v>
      </c>
      <c r="G87" s="753" t="s">
        <v>576</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552</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575</v>
      </c>
      <c r="G98" s="744" t="s">
        <v>576</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552</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575</v>
      </c>
      <c r="G109" s="753" t="s">
        <v>576</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575</v>
      </c>
      <c r="G121" s="744" t="s">
        <v>576</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575</v>
      </c>
      <c r="G132" s="753" t="s">
        <v>576</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575</v>
      </c>
      <c r="G143" s="744" t="s">
        <v>576</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575</v>
      </c>
      <c r="G154" s="753" t="s">
        <v>576</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575</v>
      </c>
      <c r="G165" s="744" t="s">
        <v>576</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577</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575</v>
      </c>
      <c r="G177" s="753" t="s">
        <v>576</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575</v>
      </c>
      <c r="G188" s="744" t="s">
        <v>576</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575</v>
      </c>
      <c r="G199" s="753" t="s">
        <v>576</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575</v>
      </c>
      <c r="G210" s="744" t="s">
        <v>576</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575</v>
      </c>
      <c r="G221" s="753" t="s">
        <v>576</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578</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575</v>
      </c>
      <c r="G233" s="744" t="s">
        <v>576</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575</v>
      </c>
      <c r="G244" s="753" t="s">
        <v>576</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575</v>
      </c>
      <c r="G255" s="744" t="s">
        <v>576</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575</v>
      </c>
      <c r="G266" s="753" t="s">
        <v>576</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575</v>
      </c>
      <c r="G277" s="744" t="s">
        <v>576</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579</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575</v>
      </c>
      <c r="G289" s="753" t="s">
        <v>576</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575</v>
      </c>
      <c r="G300" s="744" t="s">
        <v>576</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575</v>
      </c>
      <c r="G311" s="753" t="s">
        <v>576</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575</v>
      </c>
      <c r="G322" s="744" t="s">
        <v>576</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575</v>
      </c>
      <c r="G333" s="753" t="s">
        <v>576</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575</v>
      </c>
      <c r="G344" s="744" t="s">
        <v>576</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580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581</v>
      </c>
      <c r="C4" s="783"/>
      <c r="D4" s="784" t="s">
        <v>582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583</v>
      </c>
      <c r="G5" s="789"/>
      <c r="H5" s="790" t="b">
        <v>0</v>
      </c>
      <c r="J5" s="791"/>
      <c r="K5" s="775"/>
      <c r="L5" s="792" t="s">
        <v>584</v>
      </c>
      <c r="T5" s="791"/>
      <c r="U5" s="793" t="s">
        <v>585</v>
      </c>
      <c r="AC5" s="776"/>
      <c r="AD5" s="794" t="s">
        <v>96</v>
      </c>
      <c r="AE5" s="794" t="s">
        <v>586</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587</v>
      </c>
      <c r="M7" s="221"/>
      <c r="N7" s="221"/>
      <c r="O7" s="221"/>
      <c r="P7" s="221"/>
      <c r="Q7" s="221"/>
      <c r="R7" s="221"/>
      <c r="S7" s="106"/>
      <c r="T7" s="798" t="s">
        <v>588</v>
      </c>
      <c r="U7" s="799" t="s">
        <v>589</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590</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591</v>
      </c>
      <c r="C13" s="821"/>
      <c r="D13" s="822" t="s">
        <v>51</v>
      </c>
      <c r="E13" s="823" t="s">
        <v>592</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593</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594</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595</v>
      </c>
      <c r="C20" s="807" t="s">
        <v>596</v>
      </c>
      <c r="D20" s="807" t="s">
        <v>89</v>
      </c>
      <c r="E20" s="807" t="s">
        <v>90</v>
      </c>
      <c r="F20" s="807" t="s">
        <v>597</v>
      </c>
      <c r="G20" s="807" t="s">
        <v>451</v>
      </c>
      <c r="H20" s="807" t="s">
        <v>451</v>
      </c>
      <c r="I20" s="807" t="s">
        <v>598</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599</v>
      </c>
      <c r="M21" s="217"/>
      <c r="N21" s="217"/>
      <c r="O21" s="217"/>
      <c r="P21" s="217"/>
      <c r="Q21" s="217"/>
      <c r="R21" s="217"/>
      <c r="S21" s="2"/>
      <c r="T21" s="798" t="s">
        <v>588</v>
      </c>
      <c r="U21" s="799" t="s">
        <v>600</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601</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602</v>
      </c>
      <c r="C25" s="847" t="s">
        <v>603</v>
      </c>
      <c r="D25" s="2"/>
      <c r="E25" s="847" t="s">
        <v>604</v>
      </c>
      <c r="F25" s="217"/>
      <c r="G25" s="217"/>
      <c r="H25" s="847" t="s">
        <v>605</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606</v>
      </c>
      <c r="M35" s="217"/>
      <c r="N35" s="217"/>
      <c r="O35" s="217"/>
      <c r="P35" s="217"/>
      <c r="Q35" s="217"/>
      <c r="R35" s="217"/>
      <c r="S35" s="2"/>
      <c r="T35" s="798" t="s">
        <v>588</v>
      </c>
      <c r="U35" s="799" t="s">
        <v>606</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607</v>
      </c>
      <c r="C37" s="854"/>
      <c r="D37" s="855">
        <f>counta(C39:D48)</f>
        <v>0</v>
      </c>
      <c r="E37" s="856" t="s">
        <v>608</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604</v>
      </c>
      <c r="F38" s="860"/>
      <c r="G38" s="859" t="s">
        <v>609</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610</v>
      </c>
      <c r="M49" s="217"/>
      <c r="N49" s="217"/>
      <c r="O49" s="217"/>
      <c r="P49" s="217"/>
      <c r="Q49" s="217"/>
      <c r="R49" s="217"/>
      <c r="S49" s="2"/>
      <c r="T49" s="798" t="s">
        <v>588</v>
      </c>
      <c r="U49" s="799" t="s">
        <v>611</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612</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613</v>
      </c>
      <c r="C51" s="859" t="s">
        <v>448</v>
      </c>
      <c r="D51" s="860"/>
      <c r="E51" s="858" t="s">
        <v>614</v>
      </c>
      <c r="F51" s="858" t="s">
        <v>615</v>
      </c>
      <c r="G51" s="858" t="s">
        <v>616</v>
      </c>
      <c r="H51" s="859" t="s">
        <v>617</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618</v>
      </c>
      <c r="M63" s="217"/>
      <c r="N63" s="217"/>
      <c r="O63" s="217"/>
      <c r="P63" s="217"/>
      <c r="Q63" s="217"/>
      <c r="R63" s="217"/>
      <c r="S63" s="2"/>
      <c r="T63" s="798" t="s">
        <v>588</v>
      </c>
      <c r="U63" s="799" t="s">
        <v>619</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620</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613</v>
      </c>
      <c r="C65" s="859" t="s">
        <v>448</v>
      </c>
      <c r="D65" s="860"/>
      <c r="E65" s="858" t="s">
        <v>621</v>
      </c>
      <c r="F65" s="859" t="s">
        <v>622</v>
      </c>
      <c r="G65" s="860"/>
      <c r="H65" s="859" t="s">
        <v>617</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623</v>
      </c>
      <c r="M77" s="217"/>
      <c r="N77" s="217"/>
      <c r="O77" s="217"/>
      <c r="P77" s="217"/>
      <c r="Q77" s="217"/>
      <c r="R77" s="217"/>
      <c r="S77" s="2"/>
      <c r="T77" s="791"/>
      <c r="U77" s="883" t="s">
        <v>624</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625</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55</v>
      </c>
      <c r="E3" s="1091" t="s">
        <v>56</v>
      </c>
      <c r="F3" s="1091" t="s">
        <v>58</v>
      </c>
      <c r="G3" s="1091" t="s">
        <v>60</v>
      </c>
      <c r="H3" s="1091" t="s">
        <v>62</v>
      </c>
      <c r="I3" s="1091" t="s">
        <v>64</v>
      </c>
      <c r="J3" s="1091" t="s">
        <v>66</v>
      </c>
      <c r="K3" s="1091" t="s">
        <v>68</v>
      </c>
      <c r="L3" s="1091" t="s">
        <v>70</v>
      </c>
      <c r="M3" s="1091" t="s">
        <v>72</v>
      </c>
      <c r="N3" s="1091" t="s">
        <v>74</v>
      </c>
      <c r="O3" s="1092" t="s">
        <v>362</v>
      </c>
      <c r="P3" s="1084"/>
      <c r="Q3" s="1084"/>
      <c r="R3" s="1084"/>
      <c r="S3" s="1084"/>
      <c r="T3" s="1084"/>
      <c r="U3" s="1084"/>
      <c r="V3" s="1093" t="s">
        <v>1014</v>
      </c>
      <c r="W3" s="1086"/>
    </row>
    <row r="4">
      <c r="A4" s="1094"/>
      <c r="B4" s="1095" t="s">
        <v>451</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1015</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293</v>
      </c>
      <c r="C6" s="1101">
        <f t="shared" ref="C6:N6" si="1">iferror(indirect(C3&amp;"!G8"),"")</f>
        <v>0.7213827839</v>
      </c>
      <c r="D6" s="1101">
        <f t="shared" si="1"/>
        <v>0.7325268817</v>
      </c>
      <c r="E6" s="1101">
        <f t="shared" si="1"/>
        <v>0.7954545455</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0.7497880704</v>
      </c>
      <c r="P6" s="1084"/>
      <c r="Q6" s="1084"/>
      <c r="R6" s="1084"/>
      <c r="S6" s="1084"/>
      <c r="T6" s="1084"/>
      <c r="U6" s="1084"/>
      <c r="V6" s="1093">
        <v>13.0</v>
      </c>
      <c r="W6" s="1086"/>
    </row>
    <row r="7">
      <c r="A7" s="1094"/>
      <c r="B7" s="1100" t="s">
        <v>294</v>
      </c>
      <c r="C7" s="1102">
        <f t="shared" ref="C7:N7" si="2">iferror(indirect(C3&amp;"!H8"),"")</f>
        <v>13228360</v>
      </c>
      <c r="D7" s="1102">
        <f t="shared" si="2"/>
        <v>14945400</v>
      </c>
      <c r="E7" s="1102">
        <f t="shared" si="2"/>
        <v>5566066.667</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33739826.67</v>
      </c>
      <c r="P7" s="1085"/>
      <c r="Q7" s="1084"/>
      <c r="R7" s="1084"/>
      <c r="S7" s="1084"/>
      <c r="T7" s="1084"/>
      <c r="U7" s="1084"/>
      <c r="V7" s="1093">
        <v>4.0</v>
      </c>
      <c r="W7" s="1086"/>
    </row>
    <row r="8">
      <c r="A8" s="1094"/>
      <c r="B8" s="1100" t="s">
        <v>1016</v>
      </c>
      <c r="C8" s="1103">
        <f t="shared" ref="C8:N8" si="3">iferror(indirect(C3&amp;"!AZ20"),"")</f>
        <v>948920</v>
      </c>
      <c r="D8" s="1103">
        <f t="shared" si="3"/>
        <v>1150920</v>
      </c>
      <c r="E8" s="1103">
        <f t="shared" si="3"/>
        <v>519170.6667</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2619010.667</v>
      </c>
      <c r="P8" s="1085"/>
      <c r="Q8" s="1084"/>
      <c r="R8" s="1084"/>
      <c r="S8" s="1084"/>
      <c r="T8" s="1084"/>
      <c r="U8" s="1084"/>
      <c r="V8" s="1093">
        <v>5.0</v>
      </c>
      <c r="W8" s="1086"/>
    </row>
    <row r="9">
      <c r="A9" s="1094"/>
      <c r="B9" s="1100" t="s">
        <v>940</v>
      </c>
      <c r="C9" s="1103">
        <f t="shared" ref="C9:N9" si="5">iferror(indirect(C3&amp;"!BG23")-indirect(C3&amp;"!BE24"),"")</f>
        <v>8220352.333</v>
      </c>
      <c r="D9" s="1103">
        <f t="shared" si="5"/>
        <v>9201131.833</v>
      </c>
      <c r="E9" s="1103">
        <f t="shared" si="5"/>
        <v>3299988.167</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20721472.33</v>
      </c>
      <c r="P9" s="1084"/>
      <c r="Q9" s="1085"/>
      <c r="R9" s="1084"/>
      <c r="S9" s="1084"/>
      <c r="T9" s="1084"/>
      <c r="U9" s="1084"/>
      <c r="V9" s="1093">
        <v>6.0</v>
      </c>
      <c r="W9" s="1086"/>
    </row>
    <row r="10">
      <c r="A10" s="1094"/>
      <c r="B10" s="1100" t="s">
        <v>1017</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295</v>
      </c>
      <c r="C11" s="1102">
        <f t="shared" ref="C11:N11" si="7">iferror(indirect(C3&amp;"!I8"),"")</f>
        <v>160984.5</v>
      </c>
      <c r="D11" s="1102">
        <f t="shared" si="7"/>
        <v>192951</v>
      </c>
      <c r="E11" s="1102">
        <f t="shared" si="7"/>
        <v>85254.95</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439190.45</v>
      </c>
      <c r="P11" s="1084"/>
      <c r="Q11" s="1084"/>
      <c r="R11" s="1084"/>
      <c r="S11" s="1084"/>
      <c r="T11" s="1084"/>
      <c r="U11" s="1084"/>
      <c r="V11" s="1093">
        <v>8.0</v>
      </c>
      <c r="W11" s="1086"/>
    </row>
    <row r="12">
      <c r="A12" s="1094"/>
      <c r="B12" s="1100" t="s">
        <v>296</v>
      </c>
      <c r="C12" s="1102">
        <f t="shared" ref="C12:N12" si="8">iferror(indirect(C3&amp;"!J8"),"")</f>
        <v>0</v>
      </c>
      <c r="D12" s="1102">
        <f t="shared" si="8"/>
        <v>56906</v>
      </c>
      <c r="E12" s="1102">
        <f t="shared" si="8"/>
        <v>19312</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76218</v>
      </c>
      <c r="P12" s="1084"/>
      <c r="Q12" s="1084"/>
      <c r="R12" s="1084"/>
      <c r="S12" s="1084"/>
      <c r="T12" s="1084"/>
      <c r="U12" s="1084"/>
      <c r="V12" s="1093">
        <v>9.0</v>
      </c>
      <c r="W12" s="1086"/>
    </row>
    <row r="13">
      <c r="A13" s="1094"/>
      <c r="B13" s="1100" t="s">
        <v>299</v>
      </c>
      <c r="C13" s="1102">
        <f t="shared" ref="C13:N13" si="9">iferror(indirect(C3&amp;"!M8"),"")</f>
        <v>3898103.167</v>
      </c>
      <c r="D13" s="1102">
        <f t="shared" si="9"/>
        <v>4400397.167</v>
      </c>
      <c r="E13" s="1102">
        <f t="shared" si="9"/>
        <v>1661652.883</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9960153.217</v>
      </c>
      <c r="P13" s="1084"/>
      <c r="Q13" s="1084"/>
      <c r="R13" s="1084"/>
      <c r="S13" s="1084"/>
      <c r="T13" s="1084"/>
      <c r="U13" s="1084"/>
      <c r="V13" s="1093">
        <v>10.0</v>
      </c>
      <c r="W13" s="1086"/>
    </row>
    <row r="14">
      <c r="A14" s="1094"/>
      <c r="B14" s="1100" t="s">
        <v>928</v>
      </c>
      <c r="C14" s="1101">
        <f t="shared" ref="C14:N14" si="10">iferror(indirect(C3&amp;"!E8"),"")</f>
        <v>0.6214188557</v>
      </c>
      <c r="D14" s="1101">
        <f t="shared" si="10"/>
        <v>0.615649754</v>
      </c>
      <c r="E14" s="1101">
        <f t="shared" si="10"/>
        <v>0.5928761483</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0.6215643175</v>
      </c>
      <c r="P14" s="1084"/>
      <c r="Q14" s="1084"/>
      <c r="R14" s="1084"/>
      <c r="S14" s="1084"/>
      <c r="T14" s="1084"/>
      <c r="U14" s="1084"/>
      <c r="V14" s="1093">
        <v>11.0</v>
      </c>
      <c r="W14" s="1086"/>
    </row>
    <row r="15">
      <c r="A15" s="1094"/>
      <c r="B15" s="1100" t="s">
        <v>291</v>
      </c>
      <c r="C15" s="1101">
        <f t="shared" ref="C15:N15" si="11">iferror(indirect(C3&amp;"!C8"),"")</f>
        <v>0.2946777353</v>
      </c>
      <c r="D15" s="1101">
        <f t="shared" si="11"/>
        <v>0.2944315419</v>
      </c>
      <c r="E15" s="1101">
        <f t="shared" si="11"/>
        <v>0.2985326951</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0.295204635</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1018</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1018</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294</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1016</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940</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1017</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1019</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296</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299</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928</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291</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1" t="s">
        <v>1020</v>
      </c>
      <c r="C2" s="1112"/>
      <c r="D2" s="1112"/>
      <c r="E2" s="1112"/>
      <c r="F2" s="1112"/>
      <c r="G2" s="1112"/>
      <c r="H2" s="1112"/>
      <c r="I2" s="1112"/>
      <c r="J2" s="1112"/>
      <c r="K2" s="1112"/>
      <c r="L2" s="1112"/>
      <c r="M2" s="1113"/>
      <c r="N2" s="1114"/>
      <c r="O2" s="1114"/>
      <c r="P2" s="1115"/>
      <c r="Q2" s="1115"/>
      <c r="R2" s="1115"/>
      <c r="S2" s="1115"/>
      <c r="T2" s="1115"/>
      <c r="U2" s="1115"/>
      <c r="V2" s="1115"/>
      <c r="W2" s="1115"/>
      <c r="X2" s="1115"/>
      <c r="Y2" s="1115"/>
      <c r="Z2" s="1115"/>
      <c r="AA2" s="1115"/>
      <c r="AB2" s="1115"/>
      <c r="AC2" s="1115"/>
      <c r="AD2" s="1115"/>
      <c r="AE2" s="1115"/>
      <c r="AF2" s="1115"/>
      <c r="AG2" s="1115"/>
      <c r="AH2" s="1115"/>
      <c r="AI2" s="1115"/>
      <c r="AJ2" s="1115"/>
      <c r="AK2" s="1115"/>
      <c r="AL2" s="1115"/>
      <c r="AM2" s="1115"/>
      <c r="AN2" s="1116"/>
      <c r="AO2" s="1116"/>
      <c r="AP2" s="1116"/>
      <c r="AQ2" s="1116"/>
      <c r="AR2" s="1116"/>
      <c r="AS2" s="1116"/>
      <c r="AT2" s="1116"/>
      <c r="AU2" s="1116"/>
    </row>
    <row r="3">
      <c r="B3" s="1117" t="s">
        <v>1021</v>
      </c>
      <c r="C3" s="1118"/>
      <c r="D3" s="1118"/>
      <c r="E3" s="1118"/>
      <c r="F3" s="1118"/>
      <c r="G3" s="578"/>
      <c r="H3" s="1119" t="s">
        <v>1022</v>
      </c>
      <c r="I3" s="1118"/>
      <c r="J3" s="1118"/>
      <c r="K3" s="1118"/>
      <c r="L3" s="1118"/>
      <c r="M3" s="1120"/>
      <c r="N3" s="1114"/>
      <c r="O3" s="1114"/>
      <c r="P3" s="1115"/>
      <c r="Q3" s="1115"/>
      <c r="R3" s="1115"/>
      <c r="S3" s="1115"/>
      <c r="T3" s="1115"/>
      <c r="U3" s="1115"/>
      <c r="V3" s="1115"/>
      <c r="W3" s="1115"/>
      <c r="X3" s="1115"/>
      <c r="Y3" s="1115"/>
      <c r="Z3" s="1115"/>
      <c r="AA3" s="1115"/>
      <c r="AB3" s="1115"/>
      <c r="AC3" s="1115"/>
      <c r="AD3" s="1115"/>
      <c r="AE3" s="1115"/>
      <c r="AF3" s="1115"/>
      <c r="AG3" s="1115"/>
      <c r="AH3" s="1115"/>
      <c r="AI3" s="1115"/>
      <c r="AJ3" s="1115"/>
      <c r="AK3" s="1115"/>
      <c r="AL3" s="1115"/>
      <c r="AM3" s="1115"/>
      <c r="AN3" s="1116"/>
      <c r="AO3" s="1116"/>
      <c r="AP3" s="1116"/>
      <c r="AQ3" s="1116"/>
      <c r="AR3" s="1116"/>
      <c r="AS3" s="1116"/>
      <c r="AT3" s="1116"/>
      <c r="AU3" s="1116"/>
    </row>
    <row r="4">
      <c r="B4" s="1121"/>
      <c r="C4" s="1122" t="s">
        <v>312</v>
      </c>
      <c r="D4" s="1122" t="s">
        <v>591</v>
      </c>
      <c r="E4" s="1123" t="s">
        <v>35</v>
      </c>
      <c r="F4" s="1122" t="s">
        <v>1023</v>
      </c>
      <c r="G4" s="1122" t="s">
        <v>1024</v>
      </c>
      <c r="H4" s="1124"/>
      <c r="I4" s="1125" t="s">
        <v>312</v>
      </c>
      <c r="J4" s="1125" t="s">
        <v>591</v>
      </c>
      <c r="K4" s="1126" t="s">
        <v>35</v>
      </c>
      <c r="L4" s="1125" t="s">
        <v>1023</v>
      </c>
      <c r="M4" s="1127" t="s">
        <v>1024</v>
      </c>
      <c r="N4" s="1114"/>
      <c r="O4" s="1114"/>
      <c r="P4" s="1115"/>
      <c r="Q4" s="1115"/>
      <c r="R4" s="1115"/>
      <c r="S4" s="1115"/>
      <c r="T4" s="1115"/>
      <c r="U4" s="1115"/>
      <c r="V4" s="1115"/>
      <c r="W4" s="1115"/>
      <c r="X4" s="1115"/>
      <c r="Y4" s="1115"/>
      <c r="Z4" s="1115"/>
      <c r="AA4" s="1115"/>
      <c r="AB4" s="1115"/>
      <c r="AC4" s="1115"/>
      <c r="AD4" s="1115"/>
      <c r="AE4" s="1115"/>
      <c r="AF4" s="1115"/>
      <c r="AG4" s="1115"/>
      <c r="AH4" s="1115"/>
      <c r="AI4" s="1115"/>
      <c r="AJ4" s="1115"/>
      <c r="AK4" s="1115"/>
      <c r="AL4" s="1115"/>
      <c r="AM4" s="1115"/>
      <c r="AN4" s="1116"/>
      <c r="AO4" s="1116"/>
      <c r="AP4" s="1116"/>
      <c r="AQ4" s="1116"/>
      <c r="AR4" s="1116"/>
      <c r="AS4" s="1116"/>
      <c r="AT4" s="1116"/>
      <c r="AU4" s="1116"/>
    </row>
    <row r="5">
      <c r="B5" s="1128" t="s">
        <v>52</v>
      </c>
      <c r="C5" s="1129">
        <v>6742.0</v>
      </c>
      <c r="D5" s="1129">
        <v>6.0</v>
      </c>
      <c r="E5" s="1130">
        <v>9.0E-4</v>
      </c>
      <c r="F5" s="1131"/>
      <c r="G5" s="1132"/>
      <c r="H5" s="1133" t="s">
        <v>52</v>
      </c>
      <c r="I5" s="1134">
        <f>'🔵クレーム'!V10</f>
        <v>6302</v>
      </c>
      <c r="J5" s="1134">
        <f>'🔵クレーム'!T10</f>
        <v>6</v>
      </c>
      <c r="K5" s="1135">
        <f>'🔵クレーム'!X10</f>
        <v>0.0009520787052</v>
      </c>
      <c r="L5" s="1136">
        <f>O28</f>
        <v>3</v>
      </c>
      <c r="M5" s="1137">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5"/>
      <c r="AI5" s="1115"/>
      <c r="AJ5" s="1115"/>
      <c r="AK5" s="1115"/>
      <c r="AL5" s="1115"/>
      <c r="AM5" s="1115"/>
      <c r="AN5" s="1116"/>
      <c r="AO5" s="1116"/>
      <c r="AP5" s="1116"/>
      <c r="AQ5" s="1116"/>
      <c r="AR5" s="1116"/>
      <c r="AS5" s="1116"/>
      <c r="AT5" s="1116"/>
      <c r="AU5" s="1116"/>
    </row>
    <row r="6">
      <c r="B6" s="1138" t="s">
        <v>54</v>
      </c>
      <c r="C6" s="1129">
        <v>7068.0</v>
      </c>
      <c r="D6" s="1129">
        <v>10.0</v>
      </c>
      <c r="E6" s="1130">
        <v>0.0014</v>
      </c>
      <c r="F6" s="1131"/>
      <c r="G6" s="1132"/>
      <c r="H6" s="1139" t="s">
        <v>54</v>
      </c>
      <c r="I6" s="1134">
        <f>'🔵クレーム'!V11</f>
        <v>7085</v>
      </c>
      <c r="J6" s="1134">
        <f>'🔵クレーム'!T11</f>
        <v>7</v>
      </c>
      <c r="K6" s="1135">
        <f>'🔵クレーム'!X11</f>
        <v>0.0009880028229</v>
      </c>
      <c r="L6" s="1136">
        <f>P28</f>
        <v>1</v>
      </c>
      <c r="M6" s="1137">
        <f t="shared" si="1"/>
        <v>0.0001411432604</v>
      </c>
      <c r="N6" s="1114"/>
      <c r="O6" s="1114"/>
      <c r="P6" s="1115"/>
      <c r="Q6" s="1115"/>
      <c r="R6" s="1115"/>
      <c r="S6" s="1115"/>
      <c r="T6" s="1115"/>
      <c r="U6" s="1115"/>
      <c r="V6" s="1115"/>
      <c r="W6" s="1115"/>
      <c r="X6" s="1115"/>
      <c r="Y6" s="1115"/>
      <c r="Z6" s="1115"/>
      <c r="AA6" s="1115"/>
      <c r="AB6" s="1115"/>
      <c r="AC6" s="1115"/>
      <c r="AD6" s="1115"/>
      <c r="AE6" s="1115"/>
      <c r="AF6" s="1115"/>
      <c r="AG6" s="1115"/>
      <c r="AH6" s="1115"/>
      <c r="AI6" s="1115"/>
      <c r="AJ6" s="1115"/>
      <c r="AK6" s="1115"/>
      <c r="AL6" s="1115"/>
      <c r="AM6" s="1115"/>
      <c r="AN6" s="1116"/>
      <c r="AO6" s="1116"/>
      <c r="AP6" s="1116"/>
      <c r="AQ6" s="1116"/>
      <c r="AR6" s="1116"/>
      <c r="AS6" s="1116"/>
      <c r="AT6" s="1116"/>
      <c r="AU6" s="1116"/>
    </row>
    <row r="7">
      <c r="B7" s="1138" t="s">
        <v>34</v>
      </c>
      <c r="C7" s="1129">
        <v>6786.0</v>
      </c>
      <c r="D7" s="1129">
        <v>7.0</v>
      </c>
      <c r="E7" s="1130">
        <v>0.001</v>
      </c>
      <c r="F7" s="1131"/>
      <c r="G7" s="1132"/>
      <c r="H7" s="1139" t="s">
        <v>34</v>
      </c>
      <c r="I7" s="1134">
        <f>'🔵クレーム'!V12</f>
        <v>2730</v>
      </c>
      <c r="J7" s="1134">
        <f>'🔵クレーム'!T12</f>
        <v>1</v>
      </c>
      <c r="K7" s="1135">
        <f>'🔵クレーム'!X12</f>
        <v>0.0003663003663</v>
      </c>
      <c r="L7" s="1140">
        <f>Q28</f>
        <v>0</v>
      </c>
      <c r="M7" s="1137">
        <f>iferror(L7/I7,"")</f>
        <v>0</v>
      </c>
      <c r="N7" s="1114"/>
      <c r="O7" s="1114"/>
      <c r="P7" s="1115"/>
      <c r="Q7" s="1115"/>
      <c r="R7" s="1115"/>
      <c r="S7" s="1115"/>
      <c r="T7" s="1115"/>
      <c r="U7" s="1115"/>
      <c r="V7" s="1115"/>
      <c r="W7" s="1115"/>
      <c r="X7" s="1115"/>
      <c r="Y7" s="1115"/>
      <c r="Z7" s="1115"/>
      <c r="AA7" s="1115"/>
      <c r="AB7" s="1115"/>
      <c r="AC7" s="1115"/>
      <c r="AD7" s="1115"/>
      <c r="AE7" s="1115"/>
      <c r="AF7" s="1115"/>
      <c r="AG7" s="1115"/>
      <c r="AH7" s="1115"/>
      <c r="AI7" s="1115"/>
      <c r="AJ7" s="1115"/>
      <c r="AK7" s="1115"/>
      <c r="AL7" s="1115"/>
      <c r="AM7" s="1115"/>
      <c r="AN7" s="1116"/>
      <c r="AO7" s="1116"/>
      <c r="AP7" s="1116"/>
      <c r="AQ7" s="1116"/>
      <c r="AR7" s="1116"/>
      <c r="AS7" s="1116"/>
      <c r="AT7" s="1116"/>
      <c r="AU7" s="1116"/>
    </row>
    <row r="8">
      <c r="B8" s="1138" t="s">
        <v>57</v>
      </c>
      <c r="C8" s="1129">
        <v>6115.0</v>
      </c>
      <c r="D8" s="1129">
        <v>11.0</v>
      </c>
      <c r="E8" s="1130">
        <v>0.0018</v>
      </c>
      <c r="F8" s="1131"/>
      <c r="G8" s="1132"/>
      <c r="H8" s="1139" t="s">
        <v>57</v>
      </c>
      <c r="I8" s="1134" t="str">
        <f>'🔵クレーム'!V13</f>
        <v/>
      </c>
      <c r="J8" s="1134">
        <f>'🔵クレーム'!T13</f>
        <v>0</v>
      </c>
      <c r="K8" s="1135" t="str">
        <f>'🔵クレーム'!X13</f>
        <v/>
      </c>
      <c r="L8" s="1136">
        <f>R28</f>
        <v>0</v>
      </c>
      <c r="M8" s="1137"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5"/>
      <c r="AI8" s="1115"/>
      <c r="AJ8" s="1115"/>
      <c r="AK8" s="1115"/>
      <c r="AL8" s="1115"/>
      <c r="AM8" s="1115"/>
      <c r="AN8" s="1116"/>
      <c r="AO8" s="1116"/>
      <c r="AP8" s="1116"/>
      <c r="AQ8" s="1116"/>
      <c r="AR8" s="1116"/>
      <c r="AS8" s="1116"/>
      <c r="AT8" s="1116"/>
      <c r="AU8" s="1116"/>
    </row>
    <row r="9">
      <c r="B9" s="1138" t="s">
        <v>59</v>
      </c>
      <c r="C9" s="1129">
        <v>5902.0</v>
      </c>
      <c r="D9" s="1129">
        <v>5.0</v>
      </c>
      <c r="E9" s="1130">
        <v>8.0E-4</v>
      </c>
      <c r="F9" s="1131"/>
      <c r="G9" s="1132"/>
      <c r="H9" s="1139" t="s">
        <v>59</v>
      </c>
      <c r="I9" s="1134" t="str">
        <f>'🔵クレーム'!V14</f>
        <v/>
      </c>
      <c r="J9" s="1134">
        <f>'🔵クレーム'!T14</f>
        <v>0</v>
      </c>
      <c r="K9" s="1135" t="str">
        <f>'🔵クレーム'!X14</f>
        <v/>
      </c>
      <c r="L9" s="1136">
        <f>S28</f>
        <v>0</v>
      </c>
      <c r="M9" s="1137"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5"/>
      <c r="AI9" s="1115"/>
      <c r="AJ9" s="1115"/>
      <c r="AK9" s="1115"/>
      <c r="AL9" s="1115"/>
      <c r="AM9" s="1115"/>
      <c r="AN9" s="1116"/>
      <c r="AO9" s="1116"/>
      <c r="AP9" s="1116"/>
      <c r="AQ9" s="1116"/>
      <c r="AR9" s="1116"/>
      <c r="AS9" s="1116"/>
      <c r="AT9" s="1116"/>
      <c r="AU9" s="1116"/>
    </row>
    <row r="10">
      <c r="B10" s="1138" t="s">
        <v>61</v>
      </c>
      <c r="C10" s="1129">
        <v>5635.0</v>
      </c>
      <c r="D10" s="1129">
        <v>8.0</v>
      </c>
      <c r="E10" s="1130">
        <v>0.0014</v>
      </c>
      <c r="F10" s="1131"/>
      <c r="G10" s="1132"/>
      <c r="H10" s="1139" t="s">
        <v>61</v>
      </c>
      <c r="I10" s="1134" t="str">
        <f>'🔵クレーム'!V15</f>
        <v/>
      </c>
      <c r="J10" s="1134">
        <f>'🔵クレーム'!T15</f>
        <v>0</v>
      </c>
      <c r="K10" s="1135" t="str">
        <f>'🔵クレーム'!X15</f>
        <v/>
      </c>
      <c r="L10" s="1136">
        <f>T28</f>
        <v>0</v>
      </c>
      <c r="M10" s="1137"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5"/>
      <c r="AI10" s="1115"/>
      <c r="AJ10" s="1115"/>
      <c r="AK10" s="1115"/>
      <c r="AL10" s="1115"/>
      <c r="AM10" s="1115"/>
      <c r="AN10" s="1116"/>
      <c r="AO10" s="1116"/>
      <c r="AP10" s="1116"/>
      <c r="AQ10" s="1116"/>
      <c r="AR10" s="1116"/>
      <c r="AS10" s="1116"/>
      <c r="AT10" s="1116"/>
      <c r="AU10" s="1116"/>
    </row>
    <row r="11">
      <c r="B11" s="1138" t="s">
        <v>63</v>
      </c>
      <c r="C11" s="1129">
        <v>7357.0</v>
      </c>
      <c r="D11" s="1129">
        <v>4.0</v>
      </c>
      <c r="E11" s="1130">
        <v>5.0E-4</v>
      </c>
      <c r="F11" s="1141">
        <v>3.0</v>
      </c>
      <c r="G11" s="1142">
        <v>4.0E-4</v>
      </c>
      <c r="H11" s="1139" t="s">
        <v>63</v>
      </c>
      <c r="I11" s="1134" t="str">
        <f>'🔵クレーム'!V16</f>
        <v/>
      </c>
      <c r="J11" s="1134">
        <f>'🔵クレーム'!T16</f>
        <v>0</v>
      </c>
      <c r="K11" s="1135" t="str">
        <f>'🔵クレーム'!X16</f>
        <v/>
      </c>
      <c r="L11" s="1136">
        <f>U28</f>
        <v>0</v>
      </c>
      <c r="M11" s="1137"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5"/>
      <c r="AI11" s="1115"/>
      <c r="AJ11" s="1115"/>
      <c r="AK11" s="1115"/>
      <c r="AL11" s="1115"/>
      <c r="AM11" s="1115"/>
      <c r="AN11" s="1116"/>
      <c r="AO11" s="1116"/>
      <c r="AP11" s="1116"/>
      <c r="AQ11" s="1116"/>
      <c r="AR11" s="1116"/>
      <c r="AS11" s="1116"/>
      <c r="AT11" s="1116"/>
      <c r="AU11" s="1116"/>
    </row>
    <row r="12">
      <c r="B12" s="1138" t="s">
        <v>65</v>
      </c>
      <c r="C12" s="1129">
        <v>6568.0</v>
      </c>
      <c r="D12" s="1129">
        <v>4.0</v>
      </c>
      <c r="E12" s="1130">
        <v>6.0E-4</v>
      </c>
      <c r="F12" s="1141">
        <v>1.0</v>
      </c>
      <c r="G12" s="1142">
        <v>2.0E-4</v>
      </c>
      <c r="H12" s="1139" t="s">
        <v>65</v>
      </c>
      <c r="I12" s="1134" t="str">
        <f>'🔵クレーム'!V17</f>
        <v/>
      </c>
      <c r="J12" s="1134">
        <f>'🔵クレーム'!T17</f>
        <v>0</v>
      </c>
      <c r="K12" s="1135" t="str">
        <f>'🔵クレーム'!X17</f>
        <v/>
      </c>
      <c r="L12" s="1136">
        <f>V28</f>
        <v>0</v>
      </c>
      <c r="M12" s="1137"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5"/>
      <c r="AI12" s="1115"/>
      <c r="AJ12" s="1115"/>
      <c r="AK12" s="1115"/>
      <c r="AL12" s="1115"/>
      <c r="AM12" s="1115"/>
      <c r="AN12" s="1116"/>
      <c r="AO12" s="1116"/>
      <c r="AP12" s="1116"/>
      <c r="AQ12" s="1116"/>
      <c r="AR12" s="1116"/>
      <c r="AS12" s="1116"/>
      <c r="AT12" s="1116"/>
      <c r="AU12" s="1116"/>
    </row>
    <row r="13">
      <c r="B13" s="1138" t="s">
        <v>67</v>
      </c>
      <c r="C13" s="1129">
        <v>6742.0</v>
      </c>
      <c r="D13" s="1129">
        <v>8.0</v>
      </c>
      <c r="E13" s="1130">
        <v>0.0012</v>
      </c>
      <c r="F13" s="1141">
        <v>4.0</v>
      </c>
      <c r="G13" s="1142">
        <v>6.0E-4</v>
      </c>
      <c r="H13" s="1139" t="s">
        <v>67</v>
      </c>
      <c r="I13" s="1134" t="str">
        <f>'🔵クレーム'!V18</f>
        <v/>
      </c>
      <c r="J13" s="1134">
        <f>'🔵クレーム'!T18</f>
        <v>0</v>
      </c>
      <c r="K13" s="1135" t="str">
        <f>'🔵クレーム'!X18</f>
        <v/>
      </c>
      <c r="L13" s="1136">
        <f>W28</f>
        <v>0</v>
      </c>
      <c r="M13" s="1137"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5"/>
      <c r="AI13" s="1115"/>
      <c r="AJ13" s="1115"/>
      <c r="AK13" s="1115"/>
      <c r="AL13" s="1115"/>
      <c r="AM13" s="1115"/>
      <c r="AN13" s="1116"/>
      <c r="AO13" s="1116"/>
      <c r="AP13" s="1116"/>
      <c r="AQ13" s="1116"/>
      <c r="AR13" s="1116"/>
      <c r="AS13" s="1116"/>
      <c r="AT13" s="1116"/>
      <c r="AU13" s="1116"/>
    </row>
    <row r="14">
      <c r="B14" s="1138" t="s">
        <v>69</v>
      </c>
      <c r="C14" s="1129">
        <v>6344.0</v>
      </c>
      <c r="D14" s="1129">
        <v>7.0</v>
      </c>
      <c r="E14" s="1130">
        <v>0.0011</v>
      </c>
      <c r="F14" s="1141">
        <v>5.0</v>
      </c>
      <c r="G14" s="1142">
        <v>8.0E-4</v>
      </c>
      <c r="H14" s="1139" t="s">
        <v>69</v>
      </c>
      <c r="I14" s="1134" t="str">
        <f>'🔵クレーム'!V19</f>
        <v/>
      </c>
      <c r="J14" s="1134">
        <f>'🔵クレーム'!T19</f>
        <v>0</v>
      </c>
      <c r="K14" s="1135" t="str">
        <f>'🔵クレーム'!X19</f>
        <v/>
      </c>
      <c r="L14" s="1136">
        <f>X28</f>
        <v>0</v>
      </c>
      <c r="M14" s="1137"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5"/>
      <c r="AI14" s="1115"/>
      <c r="AJ14" s="1115"/>
      <c r="AK14" s="1115"/>
      <c r="AL14" s="1115"/>
      <c r="AM14" s="1115"/>
      <c r="AN14" s="1116"/>
      <c r="AO14" s="1116"/>
      <c r="AP14" s="1116"/>
      <c r="AQ14" s="1116"/>
      <c r="AR14" s="1116"/>
      <c r="AS14" s="1116"/>
      <c r="AT14" s="1116"/>
      <c r="AU14" s="1116"/>
    </row>
    <row r="15">
      <c r="B15" s="1138" t="s">
        <v>71</v>
      </c>
      <c r="C15" s="1129">
        <v>6734.0</v>
      </c>
      <c r="D15" s="1129">
        <v>10.0</v>
      </c>
      <c r="E15" s="1130">
        <v>0.0015</v>
      </c>
      <c r="F15" s="1141">
        <v>4.0</v>
      </c>
      <c r="G15" s="1142">
        <v>6.0E-4</v>
      </c>
      <c r="H15" s="1139" t="s">
        <v>71</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IFERROR(__xludf.DUMMYFUNCTION("IMPORTRANGE(""https://docs.google.com/spreadsheets/d/1IwmJzWSnyLND6OifLqCCPKpZ1Ef6H2apOiA6Z_NYTZM/edit?gid=424013977#gid=424013977"",""口コミまとめ!B108:AA121"")"),"")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13"/>
      <c r="AC15" s="1146"/>
      <c r="AD15" s="1145"/>
      <c r="AE15" s="1113"/>
      <c r="AF15" s="1145"/>
      <c r="AG15" s="1113"/>
      <c r="AH15" s="1145"/>
      <c r="AI15" s="1113"/>
      <c r="AJ15" s="1145"/>
      <c r="AK15" s="1113"/>
      <c r="AL15" s="1145"/>
      <c r="AM15" s="1113"/>
      <c r="AN15" s="1116"/>
      <c r="AO15" s="1116"/>
      <c r="AP15" s="1116"/>
      <c r="AQ15" s="1116"/>
      <c r="AR15" s="1116"/>
      <c r="AS15" s="1116"/>
      <c r="AT15" s="1116"/>
      <c r="AU15" s="1116"/>
    </row>
    <row r="16">
      <c r="B16" s="1148" t="s">
        <v>73</v>
      </c>
      <c r="C16" s="1129">
        <v>6784.0</v>
      </c>
      <c r="D16" s="1129">
        <v>8.0</v>
      </c>
      <c r="E16" s="1130">
        <v>0.0012</v>
      </c>
      <c r="F16" s="1141">
        <v>2.0</v>
      </c>
      <c r="G16" s="1142">
        <v>3.0E-4</v>
      </c>
      <c r="H16" s="1149" t="s">
        <v>73</v>
      </c>
      <c r="I16" s="1134" t="str">
        <f>'🔵クレーム'!V21</f>
        <v/>
      </c>
      <c r="J16" s="1134">
        <f>'🔵クレーム'!T21</f>
        <v>0</v>
      </c>
      <c r="K16" s="1135" t="str">
        <f>'🔵クレーム'!X21</f>
        <v/>
      </c>
      <c r="L16" s="1136">
        <f>Z28</f>
        <v>0</v>
      </c>
      <c r="M16" s="1137" t="str">
        <f t="shared" si="2"/>
        <v/>
      </c>
      <c r="N16" s="1150" t="str">
        <f>IFERROR(__xludf.DUMMYFUNCTION("""COMPUTED_VALUE"""),"内容")</f>
        <v>内容</v>
      </c>
      <c r="O16" s="1151" t="str">
        <f>IFERROR(__xludf.DUMMYFUNCTION("""COMPUTED_VALUE"""),"件数")</f>
        <v>件数</v>
      </c>
      <c r="P16" s="1152" t="str">
        <f>IFERROR(__xludf.DUMMYFUNCTION("""COMPUTED_VALUE"""),"件数")</f>
        <v>件数</v>
      </c>
      <c r="Q16" s="1151" t="str">
        <f>IFERROR(__xludf.DUMMYFUNCTION("""COMPUTED_VALUE"""),"件数")</f>
        <v>件数</v>
      </c>
      <c r="R16" s="1152" t="str">
        <f>IFERROR(__xludf.DUMMYFUNCTION("""COMPUTED_VALUE"""),"件数")</f>
        <v>件数</v>
      </c>
      <c r="S16" s="1151" t="str">
        <f>IFERROR(__xludf.DUMMYFUNCTION("""COMPUTED_VALUE"""),"件数")</f>
        <v>件数</v>
      </c>
      <c r="T16" s="1152" t="str">
        <f>IFERROR(__xludf.DUMMYFUNCTION("""COMPUTED_VALUE"""),"件数")</f>
        <v>件数</v>
      </c>
      <c r="U16" s="1151" t="str">
        <f>IFERROR(__xludf.DUMMYFUNCTION("""COMPUTED_VALUE"""),"件数")</f>
        <v>件数</v>
      </c>
      <c r="V16" s="1152" t="str">
        <f>IFERROR(__xludf.DUMMYFUNCTION("""COMPUTED_VALUE"""),"件数")</f>
        <v>件数</v>
      </c>
      <c r="W16" s="1151" t="str">
        <f>IFERROR(__xludf.DUMMYFUNCTION("""COMPUTED_VALUE"""),"件数")</f>
        <v>件数</v>
      </c>
      <c r="X16" s="1152" t="str">
        <f>IFERROR(__xludf.DUMMYFUNCTION("""COMPUTED_VALUE"""),"件数")</f>
        <v>件数</v>
      </c>
      <c r="Y16" s="1151" t="str">
        <f>IFERROR(__xludf.DUMMYFUNCTION("""COMPUTED_VALUE"""),"件数")</f>
        <v>件数</v>
      </c>
      <c r="Z16" s="1152" t="str">
        <f>IFERROR(__xludf.DUMMYFUNCTION("""COMPUTED_VALUE"""),"件数")</f>
        <v>件数</v>
      </c>
      <c r="AA16" s="1151" t="str">
        <f>IFERROR(__xludf.DUMMYFUNCTION("""COMPUTED_VALUE"""),"内容")</f>
        <v>内容</v>
      </c>
      <c r="AB16" s="1152" t="str">
        <f>IFERROR(__xludf.DUMMYFUNCTION("""COMPUTED_VALUE"""),"件数")</f>
        <v>件数</v>
      </c>
      <c r="AC16" s="1151"/>
      <c r="AD16" s="1152"/>
      <c r="AE16" s="1151"/>
      <c r="AF16" s="1152"/>
      <c r="AG16" s="1151"/>
      <c r="AH16" s="1152"/>
      <c r="AI16" s="1151"/>
      <c r="AJ16" s="1152"/>
      <c r="AK16" s="1151"/>
      <c r="AL16" s="1152"/>
      <c r="AM16" s="1151"/>
      <c r="AN16" s="1116"/>
      <c r="AO16" s="1116"/>
      <c r="AP16" s="1116"/>
      <c r="AQ16" s="1116"/>
      <c r="AR16" s="1116"/>
      <c r="AS16" s="1116"/>
      <c r="AT16" s="1116"/>
      <c r="AU16" s="1116"/>
    </row>
    <row r="17">
      <c r="B17" s="1153" t="s">
        <v>1025</v>
      </c>
      <c r="C17" s="1154">
        <f t="shared" ref="C17:D17" si="3">SUM(C4:C16)</f>
        <v>78777</v>
      </c>
      <c r="D17" s="1154">
        <f t="shared" si="3"/>
        <v>88</v>
      </c>
      <c r="E17" s="1155">
        <f>D17/C17</f>
        <v>0.00111707732</v>
      </c>
      <c r="F17" s="1154">
        <f>SUM(F5:F16)</f>
        <v>19</v>
      </c>
      <c r="G17" s="1156">
        <f>F17/C17</f>
        <v>0.0002411871485</v>
      </c>
      <c r="H17" s="1157" t="s">
        <v>1025</v>
      </c>
      <c r="I17" s="1158">
        <f t="shared" ref="I17:J17" si="4">SUM(I5:I16)</f>
        <v>16117</v>
      </c>
      <c r="J17" s="1158">
        <f t="shared" si="4"/>
        <v>14</v>
      </c>
      <c r="K17" s="1159">
        <f>J17/I17</f>
        <v>0.0008686480114</v>
      </c>
      <c r="L17" s="1158">
        <f>SUM(L5:L16)</f>
        <v>4</v>
      </c>
      <c r="M17" s="1160">
        <f>L17/I17</f>
        <v>0.0002481851461</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4">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5"/>
      <c r="AN17" s="1116"/>
      <c r="AO17" s="1116"/>
      <c r="AP17" s="1116"/>
      <c r="AQ17" s="1116"/>
      <c r="AR17" s="1116"/>
      <c r="AS17" s="1116"/>
      <c r="AT17" s="1116"/>
      <c r="AU17" s="1116"/>
    </row>
    <row r="18">
      <c r="B18" s="1166"/>
      <c r="H18" s="1167"/>
      <c r="I18" s="1167"/>
      <c r="J18" s="1167"/>
      <c r="K18" s="1167"/>
      <c r="L18" s="1167"/>
      <c r="M18" s="1168"/>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4">
        <f>IFERROR(__xludf.DUMMYFUNCTION("""COMPUTED_VALUE"""),0.0)</f>
        <v>0</v>
      </c>
      <c r="AA18" s="1165" t="str">
        <f>IFERROR(__xludf.DUMMYFUNCTION("""COMPUTED_VALUE"""),"残置")</f>
        <v>残置</v>
      </c>
      <c r="AB18" s="1163">
        <f>IFERROR(__xludf.DUMMYFUNCTION("""COMPUTED_VALUE"""),0.0)</f>
        <v>0</v>
      </c>
      <c r="AC18" s="1165"/>
      <c r="AD18" s="1163"/>
      <c r="AE18" s="1165"/>
      <c r="AF18" s="1163"/>
      <c r="AG18" s="1165"/>
      <c r="AH18" s="1163"/>
      <c r="AI18" s="1165"/>
      <c r="AJ18" s="1163"/>
      <c r="AK18" s="1165"/>
      <c r="AL18" s="1163"/>
      <c r="AM18" s="1165"/>
      <c r="AN18" s="1116"/>
      <c r="AO18" s="1116"/>
      <c r="AP18" s="1116"/>
      <c r="AQ18" s="1116"/>
      <c r="AR18" s="1116"/>
      <c r="AS18" s="1116"/>
      <c r="AT18" s="1116"/>
      <c r="AU18" s="1116"/>
    </row>
    <row r="19">
      <c r="B19" s="1166"/>
      <c r="H19" s="1167"/>
      <c r="I19" s="1167"/>
      <c r="J19" s="1167"/>
      <c r="K19" s="1167"/>
      <c r="L19" s="1167"/>
      <c r="M19" s="1168"/>
      <c r="N19" s="1161" t="str">
        <f>IFERROR(__xludf.DUMMYFUNCTION("""COMPUTED_VALUE"""),"髪の毛")</f>
        <v>髪の毛</v>
      </c>
      <c r="O19" s="1162">
        <f>IFERROR(__xludf.DUMMYFUNCTION("""COMPUTED_VALUE"""),2.0)</f>
        <v>2</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4">
        <f>IFERROR(__xludf.DUMMYFUNCTION("""COMPUTED_VALUE"""),0.0)</f>
        <v>0</v>
      </c>
      <c r="AA19" s="1165" t="str">
        <f>IFERROR(__xludf.DUMMYFUNCTION("""COMPUTED_VALUE"""),"髪の毛")</f>
        <v>髪の毛</v>
      </c>
      <c r="AB19" s="1163">
        <f>IFERROR(__xludf.DUMMYFUNCTION("""COMPUTED_VALUE"""),2.0)</f>
        <v>2</v>
      </c>
      <c r="AC19" s="1165"/>
      <c r="AD19" s="1163"/>
      <c r="AE19" s="1165"/>
      <c r="AF19" s="1163"/>
      <c r="AG19" s="1165"/>
      <c r="AH19" s="1163"/>
      <c r="AI19" s="1165"/>
      <c r="AJ19" s="1163"/>
      <c r="AK19" s="1165"/>
      <c r="AL19" s="1163"/>
      <c r="AM19" s="1165"/>
      <c r="AN19" s="1116"/>
      <c r="AO19" s="1116"/>
      <c r="AP19" s="1116"/>
      <c r="AQ19" s="1116"/>
      <c r="AR19" s="1116"/>
      <c r="AS19" s="1116"/>
      <c r="AT19" s="1116"/>
      <c r="AU19" s="1116"/>
    </row>
    <row r="20">
      <c r="B20" s="1166"/>
      <c r="H20" s="1167"/>
      <c r="I20" s="1167"/>
      <c r="J20" s="1167"/>
      <c r="K20" s="1167"/>
      <c r="L20" s="1167"/>
      <c r="M20" s="1168"/>
      <c r="N20" s="1161" t="str">
        <f>IFERROR(__xludf.DUMMYFUNCTION("""COMPUTED_VALUE"""),"汚れ")</f>
        <v>汚れ</v>
      </c>
      <c r="O20" s="1162">
        <f>IFERROR(__xludf.DUMMYFUNCTION("""COMPUTED_VALUE"""),0.0)</f>
        <v>0</v>
      </c>
      <c r="P20" s="1163">
        <f>IFERROR(__xludf.DUMMYFUNCTION("""COMPUTED_VALUE"""),0.0)</f>
        <v>0</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4">
        <f>IFERROR(__xludf.DUMMYFUNCTION("""COMPUTED_VALUE"""),0.0)</f>
        <v>0</v>
      </c>
      <c r="AA20" s="1165" t="str">
        <f>IFERROR(__xludf.DUMMYFUNCTION("""COMPUTED_VALUE"""),"汚れ")</f>
        <v>汚れ</v>
      </c>
      <c r="AB20" s="1163">
        <f>IFERROR(__xludf.DUMMYFUNCTION("""COMPUTED_VALUE"""),0.0)</f>
        <v>0</v>
      </c>
      <c r="AC20" s="1165"/>
      <c r="AD20" s="1163"/>
      <c r="AE20" s="1165"/>
      <c r="AF20" s="1163"/>
      <c r="AG20" s="1165"/>
      <c r="AH20" s="1163"/>
      <c r="AI20" s="1165"/>
      <c r="AJ20" s="1163"/>
      <c r="AK20" s="1165"/>
      <c r="AL20" s="1163"/>
      <c r="AM20" s="1165"/>
      <c r="AN20" s="1116"/>
      <c r="AO20" s="1116"/>
      <c r="AP20" s="1116"/>
      <c r="AQ20" s="1116"/>
      <c r="AR20" s="1116"/>
      <c r="AS20" s="1116"/>
      <c r="AT20" s="1116"/>
      <c r="AU20" s="1116"/>
    </row>
    <row r="21">
      <c r="B21" s="1166"/>
      <c r="H21" s="1167"/>
      <c r="I21" s="1167"/>
      <c r="J21" s="1167"/>
      <c r="K21" s="1167"/>
      <c r="L21" s="1167"/>
      <c r="M21" s="1168"/>
      <c r="N21" s="1161" t="str">
        <f>IFERROR(__xludf.DUMMYFUNCTION("""COMPUTED_VALUE"""),"清掃不備")</f>
        <v>清掃不備</v>
      </c>
      <c r="O21" s="1162">
        <f>IFERROR(__xludf.DUMMYFUNCTION("""COMPUTED_VALUE"""),0.0)</f>
        <v>0</v>
      </c>
      <c r="P21" s="1163">
        <f>IFERROR(__xludf.DUMMYFUNCTION("""COMPUTED_VALUE"""),0.0)</f>
        <v>0</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4">
        <f>IFERROR(__xludf.DUMMYFUNCTION("""COMPUTED_VALUE"""),0.0)</f>
        <v>0</v>
      </c>
      <c r="AA21" s="1165" t="str">
        <f>IFERROR(__xludf.DUMMYFUNCTION("""COMPUTED_VALUE"""),"清掃不備")</f>
        <v>清掃不備</v>
      </c>
      <c r="AB21" s="1163">
        <f>IFERROR(__xludf.DUMMYFUNCTION("""COMPUTED_VALUE"""),0.0)</f>
        <v>0</v>
      </c>
      <c r="AC21" s="1165"/>
      <c r="AD21" s="1163"/>
      <c r="AE21" s="1165"/>
      <c r="AF21" s="1163"/>
      <c r="AG21" s="1165"/>
      <c r="AH21" s="1163"/>
      <c r="AI21" s="1165"/>
      <c r="AJ21" s="1163"/>
      <c r="AK21" s="1165"/>
      <c r="AL21" s="1163"/>
      <c r="AM21" s="1165"/>
      <c r="AN21" s="1116"/>
      <c r="AO21" s="1116"/>
      <c r="AP21" s="1116"/>
      <c r="AQ21" s="1116"/>
      <c r="AR21" s="1116"/>
      <c r="AS21" s="1116"/>
      <c r="AT21" s="1116"/>
      <c r="AU21" s="1116"/>
    </row>
    <row r="22">
      <c r="B22" s="1166"/>
      <c r="H22" s="1167"/>
      <c r="I22" s="1167"/>
      <c r="J22" s="1167"/>
      <c r="K22" s="1167"/>
      <c r="L22" s="1167"/>
      <c r="M22" s="1168"/>
      <c r="N22" s="1161" t="str">
        <f>IFERROR(__xludf.DUMMYFUNCTION("""COMPUTED_VALUE"""),"手配ミス")</f>
        <v>手配ミス</v>
      </c>
      <c r="O22" s="1162">
        <f>IFERROR(__xludf.DUMMYFUNCTION("""COMPUTED_VALUE"""),0.0)</f>
        <v>0</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4">
        <f>IFERROR(__xludf.DUMMYFUNCTION("""COMPUTED_VALUE"""),0.0)</f>
        <v>0</v>
      </c>
      <c r="AA22" s="1165" t="str">
        <f>IFERROR(__xludf.DUMMYFUNCTION("""COMPUTED_VALUE"""),"手配ミス")</f>
        <v>手配ミス</v>
      </c>
      <c r="AB22" s="1163">
        <f>IFERROR(__xludf.DUMMYFUNCTION("""COMPUTED_VALUE"""),0.0)</f>
        <v>0</v>
      </c>
      <c r="AC22" s="1165"/>
      <c r="AD22" s="1163"/>
      <c r="AE22" s="1165"/>
      <c r="AF22" s="1163"/>
      <c r="AG22" s="1165"/>
      <c r="AH22" s="1163"/>
      <c r="AI22" s="1165"/>
      <c r="AJ22" s="1163"/>
      <c r="AK22" s="1165"/>
      <c r="AL22" s="1163"/>
      <c r="AM22" s="1165"/>
      <c r="AN22" s="1116"/>
      <c r="AO22" s="1116"/>
      <c r="AP22" s="1116"/>
      <c r="AQ22" s="1116"/>
      <c r="AR22" s="1116"/>
      <c r="AS22" s="1116"/>
      <c r="AT22" s="1116"/>
      <c r="AU22" s="1116"/>
    </row>
    <row r="23">
      <c r="B23" s="1166"/>
      <c r="H23" s="1167"/>
      <c r="I23" s="1167"/>
      <c r="J23" s="1167"/>
      <c r="K23" s="1167"/>
      <c r="L23" s="1167"/>
      <c r="M23" s="1168"/>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4">
        <f>IFERROR(__xludf.DUMMYFUNCTION("""COMPUTED_VALUE"""),0.0)</f>
        <v>0</v>
      </c>
      <c r="AA23" s="1165" t="str">
        <f>IFERROR(__xludf.DUMMYFUNCTION("""COMPUTED_VALUE"""),"臭い")</f>
        <v>臭い</v>
      </c>
      <c r="AB23" s="1163">
        <f>IFERROR(__xludf.DUMMYFUNCTION("""COMPUTED_VALUE"""),1.0)</f>
        <v>1</v>
      </c>
      <c r="AC23" s="1165"/>
      <c r="AD23" s="1163"/>
      <c r="AE23" s="1165"/>
      <c r="AF23" s="1163"/>
      <c r="AG23" s="1165"/>
      <c r="AH23" s="1163"/>
      <c r="AI23" s="1165"/>
      <c r="AJ23" s="1163"/>
      <c r="AK23" s="1165"/>
      <c r="AL23" s="1163"/>
      <c r="AM23" s="1165"/>
      <c r="AN23" s="1116"/>
      <c r="AO23" s="1116"/>
      <c r="AP23" s="1116"/>
      <c r="AQ23" s="1116"/>
      <c r="AR23" s="1116"/>
      <c r="AS23" s="1116"/>
      <c r="AT23" s="1116"/>
      <c r="AU23" s="1116"/>
    </row>
    <row r="24">
      <c r="B24" s="1166"/>
      <c r="H24" s="1167"/>
      <c r="I24" s="1167"/>
      <c r="J24" s="1167"/>
      <c r="K24" s="1167"/>
      <c r="L24" s="1167"/>
      <c r="M24" s="1168"/>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4">
        <f>IFERROR(__xludf.DUMMYFUNCTION("""COMPUTED_VALUE"""),0.0)</f>
        <v>0</v>
      </c>
      <c r="AA24" s="1165" t="str">
        <f>IFERROR(__xludf.DUMMYFUNCTION("""COMPUTED_VALUE"""),"ホコリ")</f>
        <v>ホコリ</v>
      </c>
      <c r="AB24" s="1163">
        <f>IFERROR(__xludf.DUMMYFUNCTION("""COMPUTED_VALUE"""),0.0)</f>
        <v>0</v>
      </c>
      <c r="AC24" s="1165"/>
      <c r="AD24" s="1163"/>
      <c r="AE24" s="1165"/>
      <c r="AF24" s="1163"/>
      <c r="AG24" s="1165"/>
      <c r="AH24" s="1163"/>
      <c r="AI24" s="1165"/>
      <c r="AJ24" s="1163"/>
      <c r="AK24" s="1165"/>
      <c r="AL24" s="1163"/>
      <c r="AM24" s="1165"/>
      <c r="AN24" s="1116"/>
      <c r="AO24" s="1116"/>
      <c r="AP24" s="1116"/>
      <c r="AQ24" s="1116"/>
      <c r="AR24" s="1116"/>
      <c r="AS24" s="1116"/>
      <c r="AT24" s="1116"/>
      <c r="AU24" s="1116"/>
    </row>
    <row r="25">
      <c r="B25" s="1166"/>
      <c r="H25" s="1167"/>
      <c r="I25" s="1167"/>
      <c r="J25" s="1167"/>
      <c r="K25" s="1167"/>
      <c r="L25" s="1167"/>
      <c r="M25" s="1168"/>
      <c r="N25" s="1161" t="str">
        <f>IFERROR(__xludf.DUMMYFUNCTION("""COMPUTED_VALUE"""),"カビ")</f>
        <v>カビ</v>
      </c>
      <c r="O25" s="1162">
        <f>IFERROR(__xludf.DUMMYFUNCTION("""COMPUTED_VALUE"""),0.0)</f>
        <v>0</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4">
        <f>IFERROR(__xludf.DUMMYFUNCTION("""COMPUTED_VALUE"""),0.0)</f>
        <v>0</v>
      </c>
      <c r="AA25" s="1165" t="str">
        <f>IFERROR(__xludf.DUMMYFUNCTION("""COMPUTED_VALUE"""),"カビ")</f>
        <v>カビ</v>
      </c>
      <c r="AB25" s="1163">
        <f>IFERROR(__xludf.DUMMYFUNCTION("""COMPUTED_VALUE"""),0.0)</f>
        <v>0</v>
      </c>
      <c r="AC25" s="1165"/>
      <c r="AD25" s="1163"/>
      <c r="AE25" s="1165"/>
      <c r="AF25" s="1163"/>
      <c r="AG25" s="1165"/>
      <c r="AH25" s="1163"/>
      <c r="AI25" s="1165"/>
      <c r="AJ25" s="1163"/>
      <c r="AK25" s="1165"/>
      <c r="AL25" s="1163"/>
      <c r="AM25" s="1165"/>
      <c r="AN25" s="1116"/>
      <c r="AO25" s="1116"/>
      <c r="AP25" s="1116"/>
      <c r="AQ25" s="1116"/>
      <c r="AR25" s="1116"/>
      <c r="AS25" s="1116"/>
      <c r="AT25" s="1116"/>
      <c r="AU25" s="1116"/>
    </row>
    <row r="26">
      <c r="B26" s="1166"/>
      <c r="H26" s="1167"/>
      <c r="I26" s="1167"/>
      <c r="J26" s="1167"/>
      <c r="K26" s="1167"/>
      <c r="L26" s="1167"/>
      <c r="M26" s="1168"/>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4">
        <f>IFERROR(__xludf.DUMMYFUNCTION("""COMPUTED_VALUE"""),0.0)</f>
        <v>0</v>
      </c>
      <c r="AA26" s="1165" t="str">
        <f>IFERROR(__xludf.DUMMYFUNCTION("""COMPUTED_VALUE"""),"害虫")</f>
        <v>害虫</v>
      </c>
      <c r="AB26" s="1163">
        <f>IFERROR(__xludf.DUMMYFUNCTION("""COMPUTED_VALUE"""),0.0)</f>
        <v>0</v>
      </c>
      <c r="AC26" s="1165"/>
      <c r="AD26" s="1163"/>
      <c r="AE26" s="1165"/>
      <c r="AF26" s="1163"/>
      <c r="AG26" s="1165"/>
      <c r="AH26" s="1163"/>
      <c r="AI26" s="1165"/>
      <c r="AJ26" s="1163"/>
      <c r="AK26" s="1165"/>
      <c r="AL26" s="1163"/>
      <c r="AM26" s="1165"/>
      <c r="AN26" s="1116"/>
      <c r="AO26" s="1116"/>
      <c r="AP26" s="1116"/>
      <c r="AQ26" s="1116"/>
      <c r="AR26" s="1116"/>
      <c r="AS26" s="1116"/>
      <c r="AT26" s="1116"/>
      <c r="AU26" s="1116"/>
    </row>
    <row r="27">
      <c r="B27" s="1166"/>
      <c r="H27" s="1167"/>
      <c r="I27" s="1167"/>
      <c r="J27" s="1167"/>
      <c r="K27" s="1167"/>
      <c r="L27" s="1167"/>
      <c r="M27" s="1168"/>
      <c r="N27" s="1169" t="str">
        <f>IFERROR(__xludf.DUMMYFUNCTION("""COMPUTED_VALUE"""),"その他")</f>
        <v>その他</v>
      </c>
      <c r="O27" s="1162">
        <f>IFERROR(__xludf.DUMMYFUNCTION("""COMPUTED_VALUE"""),0.0)</f>
        <v>0</v>
      </c>
      <c r="P27" s="1170">
        <f>IFERROR(__xludf.DUMMYFUNCTION("""COMPUTED_VALUE"""),1.0)</f>
        <v>1</v>
      </c>
      <c r="Q27" s="1162">
        <f>IFERROR(__xludf.DUMMYFUNCTION("""COMPUTED_VALUE"""),0.0)</f>
        <v>0</v>
      </c>
      <c r="R27" s="1170">
        <f>IFERROR(__xludf.DUMMYFUNCTION("""COMPUTED_VALUE"""),0.0)</f>
        <v>0</v>
      </c>
      <c r="S27" s="1162">
        <f>IFERROR(__xludf.DUMMYFUNCTION("""COMPUTED_VALUE"""),0.0)</f>
        <v>0</v>
      </c>
      <c r="T27" s="1170">
        <f>IFERROR(__xludf.DUMMYFUNCTION("""COMPUTED_VALUE"""),0.0)</f>
        <v>0</v>
      </c>
      <c r="U27" s="1162">
        <f>IFERROR(__xludf.DUMMYFUNCTION("""COMPUTED_VALUE"""),0.0)</f>
        <v>0</v>
      </c>
      <c r="V27" s="1170">
        <f>IFERROR(__xludf.DUMMYFUNCTION("""COMPUTED_VALUE"""),0.0)</f>
        <v>0</v>
      </c>
      <c r="W27" s="1162">
        <f>IFERROR(__xludf.DUMMYFUNCTION("""COMPUTED_VALUE"""),0.0)</f>
        <v>0</v>
      </c>
      <c r="X27" s="1170">
        <f>IFERROR(__xludf.DUMMYFUNCTION("""COMPUTED_VALUE"""),0.0)</f>
        <v>0</v>
      </c>
      <c r="Y27" s="1162">
        <f>IFERROR(__xludf.DUMMYFUNCTION("""COMPUTED_VALUE"""),0.0)</f>
        <v>0</v>
      </c>
      <c r="Z27" s="1171">
        <f>IFERROR(__xludf.DUMMYFUNCTION("""COMPUTED_VALUE"""),0.0)</f>
        <v>0</v>
      </c>
      <c r="AA27" s="1172" t="str">
        <f>IFERROR(__xludf.DUMMYFUNCTION("""COMPUTED_VALUE"""),"その他")</f>
        <v>その他</v>
      </c>
      <c r="AB27" s="1170">
        <f>IFERROR(__xludf.DUMMYFUNCTION("""COMPUTED_VALUE"""),1.0)</f>
        <v>1</v>
      </c>
      <c r="AC27" s="1172"/>
      <c r="AD27" s="1170"/>
      <c r="AE27" s="1172"/>
      <c r="AF27" s="1170"/>
      <c r="AG27" s="1172"/>
      <c r="AH27" s="1170"/>
      <c r="AI27" s="1172"/>
      <c r="AJ27" s="1170"/>
      <c r="AK27" s="1172"/>
      <c r="AL27" s="1170"/>
      <c r="AM27" s="1165"/>
      <c r="AN27" s="1116"/>
      <c r="AO27" s="1116"/>
      <c r="AP27" s="1116"/>
      <c r="AQ27" s="1116"/>
      <c r="AR27" s="1116"/>
      <c r="AS27" s="1116"/>
      <c r="AT27" s="1116"/>
      <c r="AU27" s="1116"/>
    </row>
    <row r="28">
      <c r="B28" s="1166"/>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3"/>
      <c r="AI28" s="1174"/>
      <c r="AJ28" s="1173"/>
      <c r="AK28" s="1174"/>
      <c r="AL28" s="1173"/>
      <c r="AM28" s="1175"/>
      <c r="AN28" s="1116"/>
      <c r="AO28" s="1116"/>
      <c r="AP28" s="1116"/>
      <c r="AQ28" s="1116"/>
      <c r="AR28" s="1116"/>
      <c r="AS28" s="1116"/>
      <c r="AT28" s="1116"/>
      <c r="AU28" s="1116"/>
    </row>
    <row r="29">
      <c r="B29" s="1166"/>
      <c r="H29" s="1167"/>
      <c r="I29" s="1167"/>
      <c r="J29" s="1167"/>
      <c r="K29" s="1167"/>
      <c r="L29" s="1167"/>
      <c r="M29" s="1168"/>
      <c r="N29" s="1116"/>
      <c r="O29" s="1116"/>
      <c r="P29" s="1116"/>
      <c r="Q29" s="1116"/>
      <c r="R29" s="1116"/>
      <c r="S29" s="1116"/>
      <c r="T29" s="1116"/>
      <c r="U29" s="1116"/>
      <c r="V29" s="1116"/>
      <c r="W29" s="1116"/>
      <c r="X29" s="1116"/>
      <c r="Y29" s="1116"/>
      <c r="Z29" s="1116"/>
      <c r="AA29" s="1116"/>
      <c r="AB29" s="1116"/>
      <c r="AC29" s="1116"/>
      <c r="AD29" s="1116"/>
      <c r="AE29" s="1116"/>
      <c r="AF29" s="1116"/>
      <c r="AG29" s="1116"/>
      <c r="AH29" s="1116"/>
      <c r="AI29" s="1116"/>
      <c r="AJ29" s="1116"/>
      <c r="AK29" s="1116"/>
      <c r="AL29" s="1116"/>
      <c r="AM29" s="1116"/>
      <c r="AN29" s="1116"/>
      <c r="AO29" s="1116"/>
      <c r="AP29" s="1116"/>
      <c r="AQ29" s="1116"/>
      <c r="AR29" s="1116"/>
      <c r="AS29" s="1116"/>
      <c r="AT29" s="1116"/>
      <c r="AU29" s="1116"/>
    </row>
    <row r="30">
      <c r="B30" s="1166"/>
      <c r="H30" s="1167"/>
      <c r="I30" s="1167"/>
      <c r="J30" s="1167"/>
      <c r="K30" s="1167"/>
      <c r="L30" s="1167"/>
      <c r="M30" s="1168"/>
      <c r="N30" s="1116"/>
      <c r="O30" s="1116"/>
      <c r="P30" s="1116"/>
      <c r="Q30" s="1116"/>
      <c r="R30" s="1116"/>
      <c r="S30" s="1116"/>
      <c r="T30" s="1116"/>
      <c r="U30" s="1116"/>
      <c r="V30" s="1116"/>
      <c r="W30" s="1116"/>
      <c r="X30" s="1116"/>
      <c r="Y30" s="1116"/>
      <c r="Z30" s="1116"/>
      <c r="AA30" s="1116"/>
      <c r="AB30" s="1116"/>
      <c r="AC30" s="1116"/>
      <c r="AD30" s="1116"/>
      <c r="AE30" s="1116"/>
      <c r="AF30" s="1116"/>
      <c r="AG30" s="1116"/>
      <c r="AH30" s="1116"/>
      <c r="AI30" s="1116"/>
      <c r="AJ30" s="1116"/>
      <c r="AK30" s="1116"/>
      <c r="AL30" s="1116"/>
      <c r="AM30" s="1116"/>
      <c r="AN30" s="1116"/>
      <c r="AO30" s="1116"/>
      <c r="AP30" s="1116"/>
      <c r="AQ30" s="1116"/>
      <c r="AR30" s="1116"/>
      <c r="AS30" s="1116"/>
      <c r="AT30" s="1116"/>
      <c r="AU30" s="1116"/>
    </row>
    <row r="31">
      <c r="B31" s="1166"/>
      <c r="M31" s="1176"/>
    </row>
    <row r="32">
      <c r="B32" s="1177"/>
      <c r="C32" s="1178"/>
      <c r="D32" s="1178"/>
      <c r="E32" s="1178"/>
      <c r="F32" s="1178"/>
      <c r="G32" s="1178"/>
      <c r="H32" s="1178"/>
      <c r="I32" s="1178"/>
      <c r="J32" s="1178"/>
      <c r="K32" s="1178"/>
      <c r="L32" s="1178"/>
      <c r="M32" s="1179"/>
    </row>
    <row r="33">
      <c r="B33" s="1180"/>
      <c r="C33" s="1180"/>
      <c r="D33" s="1180"/>
      <c r="E33" s="1180"/>
      <c r="F33" s="1180"/>
      <c r="G33" s="1180"/>
      <c r="H33" s="1180"/>
      <c r="I33" s="1180"/>
      <c r="J33" s="1180" t="s">
        <v>1026</v>
      </c>
      <c r="K33" s="1180"/>
      <c r="L33" s="1180"/>
    </row>
    <row r="34">
      <c r="B34" s="1181" t="s">
        <v>1027</v>
      </c>
      <c r="C34" s="1112"/>
      <c r="D34" s="1112"/>
      <c r="E34" s="1112"/>
      <c r="F34" s="1112"/>
      <c r="G34" s="1112"/>
      <c r="H34" s="1112"/>
      <c r="I34" s="1112"/>
      <c r="J34" s="1112"/>
      <c r="K34" s="1112"/>
      <c r="L34" s="1112"/>
      <c r="M34" s="1113"/>
      <c r="O34" s="1065"/>
      <c r="P34" s="1065"/>
      <c r="Q34" s="1065"/>
      <c r="S34" s="1065"/>
      <c r="T34" s="1065"/>
      <c r="U34" s="1065"/>
    </row>
    <row r="35">
      <c r="B35" s="1182" t="s">
        <v>1028</v>
      </c>
      <c r="D35" s="1183"/>
      <c r="M35" s="1184"/>
      <c r="O35" s="1065"/>
      <c r="P35" s="1065"/>
      <c r="Q35" s="1065"/>
      <c r="S35" s="1065"/>
      <c r="T35" s="1065"/>
      <c r="U35" s="1065"/>
    </row>
    <row r="36">
      <c r="B36" s="1185" t="s">
        <v>1029</v>
      </c>
      <c r="C36" s="1113"/>
      <c r="D36" s="1185" t="s">
        <v>1030</v>
      </c>
      <c r="E36" s="1113"/>
      <c r="F36" s="1185" t="s">
        <v>1031</v>
      </c>
      <c r="G36" s="1112"/>
      <c r="H36" s="1185" t="s">
        <v>1032</v>
      </c>
      <c r="I36" s="1112"/>
      <c r="J36" s="1113"/>
      <c r="K36" s="1185" t="s">
        <v>1033</v>
      </c>
      <c r="L36" s="1112"/>
      <c r="M36" s="1113"/>
      <c r="O36" s="1065" t="s">
        <v>81</v>
      </c>
      <c r="P36" s="1065" t="s">
        <v>82</v>
      </c>
      <c r="Q36" s="1065" t="s">
        <v>1034</v>
      </c>
      <c r="S36" s="1065" t="s">
        <v>89</v>
      </c>
      <c r="T36" s="1065" t="s">
        <v>90</v>
      </c>
      <c r="U36" s="1065" t="s">
        <v>92</v>
      </c>
      <c r="W36" s="1065" t="s">
        <v>81</v>
      </c>
      <c r="X36" s="1065" t="s">
        <v>82</v>
      </c>
      <c r="Y36" s="1065" t="s">
        <v>1034</v>
      </c>
      <c r="AA36" s="1065" t="s">
        <v>89</v>
      </c>
      <c r="AB36" s="1065" t="s">
        <v>90</v>
      </c>
      <c r="AC36" s="1065" t="s">
        <v>92</v>
      </c>
    </row>
    <row r="37">
      <c r="B37" s="1186"/>
      <c r="C37" s="1187"/>
      <c r="D37" s="1186"/>
      <c r="E37" s="1187"/>
      <c r="F37" s="1186"/>
      <c r="G37" s="1188"/>
      <c r="H37" s="1186"/>
      <c r="I37" s="1188"/>
      <c r="J37" s="1187"/>
      <c r="K37" s="1186"/>
      <c r="L37" s="1188"/>
      <c r="M37" s="1187"/>
      <c r="N37" s="1065" t="s">
        <v>1035</v>
      </c>
      <c r="O37" s="1189" t="s">
        <v>52</v>
      </c>
      <c r="P37" s="1189" t="s">
        <v>1036</v>
      </c>
      <c r="Q37" s="1189" t="s">
        <v>39</v>
      </c>
      <c r="R37" s="1190"/>
      <c r="S37" s="1189" t="s">
        <v>139</v>
      </c>
      <c r="T37" s="1189" t="s">
        <v>507</v>
      </c>
      <c r="U37" s="1191" t="s">
        <v>1037</v>
      </c>
      <c r="V37" s="1065" t="s">
        <v>1028</v>
      </c>
      <c r="W37" s="1190" t="str">
        <f>'🔵クレーム'!C28</f>
        <v>2月</v>
      </c>
      <c r="X37" s="1190" t="str">
        <f>'🔵クレーム'!D28</f>
        <v>1日</v>
      </c>
      <c r="Y37" s="1189" t="str">
        <f>'🔵クレーム'!I28</f>
        <v>残置</v>
      </c>
      <c r="Z37" s="1190" t="str">
        <f>'🔵クレーム'!J28</f>
        <v/>
      </c>
      <c r="AA37" s="1190" t="str">
        <f>'🔵クレーム'!K28</f>
        <v>不明</v>
      </c>
      <c r="AB37" s="1190" t="str">
        <f>'🔵クレーム'!L28</f>
        <v>不明</v>
      </c>
      <c r="AC37" s="1192"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3" t="s">
        <v>90</v>
      </c>
      <c r="C38" s="1194" t="s">
        <v>1038</v>
      </c>
      <c r="D38" s="1194" t="s">
        <v>89</v>
      </c>
      <c r="E38" s="1194" t="s">
        <v>1038</v>
      </c>
      <c r="F38" s="1195" t="s">
        <v>1034</v>
      </c>
      <c r="G38" s="1195" t="s">
        <v>1038</v>
      </c>
      <c r="H38" s="1194" t="s">
        <v>1034</v>
      </c>
      <c r="I38" s="1196" t="s">
        <v>1038</v>
      </c>
      <c r="J38" s="1197" t="s">
        <v>1039</v>
      </c>
      <c r="K38" s="1198"/>
      <c r="L38" s="1199" t="s">
        <v>1038</v>
      </c>
      <c r="M38" s="1200" t="s">
        <v>1039</v>
      </c>
      <c r="O38" s="1189" t="s">
        <v>52</v>
      </c>
      <c r="P38" s="1189" t="s">
        <v>108</v>
      </c>
      <c r="Q38" s="1189" t="s">
        <v>41</v>
      </c>
      <c r="R38" s="1190"/>
      <c r="S38" s="1189" t="s">
        <v>463</v>
      </c>
      <c r="T38" s="1189" t="s">
        <v>492</v>
      </c>
      <c r="U38" s="1191" t="s">
        <v>1040</v>
      </c>
      <c r="W38" s="1190" t="str">
        <f>'🔵クレーム'!C29</f>
        <v>2月</v>
      </c>
      <c r="X38" s="1190" t="str">
        <f>'🔵クレーム'!D29</f>
        <v>6日</v>
      </c>
      <c r="Y38" s="1189" t="str">
        <f>'🔵クレーム'!I29</f>
        <v>巻き込み</v>
      </c>
      <c r="Z38" s="1190" t="str">
        <f>'🔵クレーム'!J29</f>
        <v/>
      </c>
      <c r="AA38" s="1190" t="str">
        <f>'🔵クレーム'!K29</f>
        <v>-</v>
      </c>
      <c r="AB38" s="1190" t="str">
        <f>'🔵クレーム'!L29</f>
        <v>リジャル</v>
      </c>
      <c r="AC38" s="1192" t="str">
        <f>'🔵クレーム'!N29</f>
        <v>ゲストの私物タオルの巻き込み(リネン袋から発見)</v>
      </c>
      <c r="AE38" s="20" t="str">
        <f>IFERROR(__xludf.DUMMYFUNCTION("""COMPUTED_VALUE"""),"-")</f>
        <v>-</v>
      </c>
    </row>
    <row r="39">
      <c r="B39" s="120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)"),"松岡")</f>
        <v>松岡</v>
      </c>
      <c r="E39" s="1204">
        <f>IFERROR(__xludf.DUMMYFUNCTION("""COMPUTED_VALUE"""),3.0)</f>
        <v>3</v>
      </c>
      <c r="F39" s="1205" t="str">
        <f>IFERROR(__xludf.DUMMYFUNCTION("IFERROR(
  QUERY(
    {
      IF($B$35=""R7"",$Q$37:$Q1038,$Y$37:$Y1038);
      IF($B$35=""R7"",$R$37:$R1038,$Z$37:$Z1038)
    },
    ""select Col1, count(Col1)
     where Col1 is not null and Col1 &lt;&gt; ''
     group by Col1
     order by count(Col1) desc, "&amp;"Col1 asc
     label Col1 '', count(Col1) ''"",
    0
  ),
  """"
)"),"残置")</f>
        <v>残置</v>
      </c>
      <c r="G39" s="1206">
        <f>IFERROR(__xludf.DUMMYFUNCTION("""COMPUTED_VALUE"""),5.0)</f>
        <v>5</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8">
        <f>IFERROR(__xludf.DUMMYFUNCTION("""COMPUTED_VALUE"""),5.0)</f>
        <v>5</v>
      </c>
      <c r="J39" s="1209">
        <f t="array" ref="J39:J1038">IF(H39:H1038="","", I39:I1038 / SUM(I39:I1038))</f>
        <v>0.3571428571</v>
      </c>
      <c r="K39" s="1210" t="s">
        <v>40</v>
      </c>
      <c r="L39" s="1211">
        <f t="shared" ref="L39:L50" si="5">AB17</f>
        <v>0</v>
      </c>
      <c r="M39" s="1212">
        <f t="shared" ref="M39:M50" si="6">iferror(L39/$L$50,"")</f>
        <v>0</v>
      </c>
      <c r="O39" s="1189" t="s">
        <v>52</v>
      </c>
      <c r="P39" s="1189" t="s">
        <v>1041</v>
      </c>
      <c r="Q39" s="1189" t="s">
        <v>41</v>
      </c>
      <c r="R39" s="1190"/>
      <c r="S39" s="1190"/>
      <c r="T39" s="1189" t="s">
        <v>1042</v>
      </c>
      <c r="U39" s="1191" t="s">
        <v>1043</v>
      </c>
      <c r="W39" s="1190" t="str">
        <f>'🔵クレーム'!C30</f>
        <v>2月</v>
      </c>
      <c r="X39" s="1190" t="str">
        <f>'🔵クレーム'!D30</f>
        <v>6日</v>
      </c>
      <c r="Y39" s="1189" t="str">
        <f>'🔵クレーム'!I30</f>
        <v>セット漏れ</v>
      </c>
      <c r="Z39" s="1190" t="str">
        <f>'🔵クレーム'!J30</f>
        <v/>
      </c>
      <c r="AA39" s="1190" t="str">
        <f>'🔵クレーム'!K30</f>
        <v>富田</v>
      </c>
      <c r="AB39" s="1190" t="str">
        <f>'🔵クレーム'!L30</f>
        <v>スシル</v>
      </c>
      <c r="AC39" s="1192"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10" t="str">
        <f>IFERROR(__xludf.DUMMYFUNCTION("""COMPUTED_VALUE"""),"スシル")</f>
        <v>スシル</v>
      </c>
      <c r="C40" s="1213">
        <f>IFERROR(__xludf.DUMMYFUNCTION("""COMPUTED_VALUE"""),2.0)</f>
        <v>2</v>
      </c>
      <c r="D40" s="1214" t="str">
        <f>IFERROR(__xludf.DUMMYFUNCTION("""COMPUTED_VALUE"""),"デビ")</f>
        <v>デビ</v>
      </c>
      <c r="E40" s="1215">
        <f>IFERROR(__xludf.DUMMYFUNCTION("""COMPUTED_VALUE"""),2.0)</f>
        <v>2</v>
      </c>
      <c r="F40" s="1214" t="str">
        <f>IFERROR(__xludf.DUMMYFUNCTION("""COMPUTED_VALUE"""),"口コミ")</f>
        <v>口コミ</v>
      </c>
      <c r="G40" s="1213">
        <f>IFERROR(__xludf.DUMMYFUNCTION("""COMPUTED_VALUE"""),4.0)</f>
        <v>4</v>
      </c>
      <c r="H40" s="1216" t="str">
        <f>IFERROR(__xludf.DUMMYFUNCTION("""COMPUTED_VALUE"""),"汚れ")</f>
        <v>汚れ</v>
      </c>
      <c r="I40" s="1211">
        <f>IFERROR(__xludf.DUMMYFUNCTION("""COMPUTED_VALUE"""),4.0)</f>
        <v>4</v>
      </c>
      <c r="J40" s="1217">
        <v>0.2857142857142857</v>
      </c>
      <c r="K40" s="1210" t="s">
        <v>39</v>
      </c>
      <c r="L40" s="1211">
        <f t="shared" si="5"/>
        <v>0</v>
      </c>
      <c r="M40" s="1212">
        <f t="shared" si="6"/>
        <v>0</v>
      </c>
      <c r="O40" s="1189" t="s">
        <v>52</v>
      </c>
      <c r="P40" s="1189" t="s">
        <v>1036</v>
      </c>
      <c r="Q40" s="1189" t="s">
        <v>38</v>
      </c>
      <c r="R40" s="1190"/>
      <c r="S40" s="1190"/>
      <c r="T40" s="1189" t="s">
        <v>1044</v>
      </c>
      <c r="U40" s="1191" t="s">
        <v>1045</v>
      </c>
      <c r="W40" s="1190" t="str">
        <f>'🔵クレーム'!C31</f>
        <v>2月</v>
      </c>
      <c r="X40" s="1190" t="str">
        <f>'🔵クレーム'!D31</f>
        <v>14日</v>
      </c>
      <c r="Y40" s="1189" t="str">
        <f>'🔵クレーム'!I31</f>
        <v/>
      </c>
      <c r="Z40" s="1190" t="str">
        <f>'🔵クレーム'!J31</f>
        <v>その他</v>
      </c>
      <c r="AA40" s="1190" t="str">
        <f>'🔵クレーム'!K31</f>
        <v>富田</v>
      </c>
      <c r="AB40" s="1190" t="str">
        <f>'🔵クレーム'!L31</f>
        <v>-</v>
      </c>
      <c r="AC40" s="1192"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18"/>
      <c r="AL40" s="1218"/>
      <c r="AM40" s="1219"/>
    </row>
    <row r="41">
      <c r="B41" s="1210" t="str">
        <f>IFERROR(__xludf.DUMMYFUNCTION("""COMPUTED_VALUE"""),"-")</f>
        <v>-</v>
      </c>
      <c r="C41" s="1213">
        <f>IFERROR(__xludf.DUMMYFUNCTION("""COMPUTED_VALUE"""),1.0)</f>
        <v>1</v>
      </c>
      <c r="D41" s="1214" t="str">
        <f>IFERROR(__xludf.DUMMYFUNCTION("""COMPUTED_VALUE"""),"富田")</f>
        <v>富田</v>
      </c>
      <c r="E41" s="1215">
        <f>IFERROR(__xludf.DUMMYFUNCTION("""COMPUTED_VALUE"""),2.0)</f>
        <v>2</v>
      </c>
      <c r="F41" s="1214" t="str">
        <f>IFERROR(__xludf.DUMMYFUNCTION("""COMPUTED_VALUE"""),"汚れ")</f>
        <v>汚れ</v>
      </c>
      <c r="G41" s="1213">
        <f>IFERROR(__xludf.DUMMYFUNCTION("""COMPUTED_VALUE"""),4.0)</f>
        <v>4</v>
      </c>
      <c r="H41" s="1216" t="str">
        <f>IFERROR(__xludf.DUMMYFUNCTION("""COMPUTED_VALUE"""),"その他")</f>
        <v>その他</v>
      </c>
      <c r="I41" s="1211">
        <f>IFERROR(__xludf.DUMMYFUNCTION("""COMPUTED_VALUE"""),1.0)</f>
        <v>1</v>
      </c>
      <c r="J41" s="1217">
        <v>0.07142857142857142</v>
      </c>
      <c r="K41" s="1210" t="s">
        <v>38</v>
      </c>
      <c r="L41" s="1211">
        <f t="shared" si="5"/>
        <v>2</v>
      </c>
      <c r="M41" s="1212">
        <f t="shared" si="6"/>
        <v>0.5</v>
      </c>
      <c r="O41" s="1189" t="s">
        <v>52</v>
      </c>
      <c r="P41" s="1189" t="s">
        <v>129</v>
      </c>
      <c r="Q41" s="1189" t="s">
        <v>39</v>
      </c>
      <c r="R41" s="1190"/>
      <c r="S41" s="1190"/>
      <c r="T41" s="1189" t="s">
        <v>503</v>
      </c>
      <c r="U41" s="1191" t="s">
        <v>1046</v>
      </c>
      <c r="W41" s="1190" t="str">
        <f>'🔵クレーム'!C32</f>
        <v>2月</v>
      </c>
      <c r="X41" s="1190" t="str">
        <f>'🔵クレーム'!D32</f>
        <v>17日</v>
      </c>
      <c r="Y41" s="1189" t="str">
        <f>'🔵クレーム'!I32</f>
        <v>破損</v>
      </c>
      <c r="Z41" s="1190" t="str">
        <f>'🔵クレーム'!J32</f>
        <v/>
      </c>
      <c r="AA41" s="1190" t="str">
        <f>'🔵クレーム'!K32</f>
        <v>松岡</v>
      </c>
      <c r="AB41" s="1190" t="str">
        <f>'🔵クレーム'!L32</f>
        <v>アルジュン</v>
      </c>
      <c r="AC41" s="1192"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18"/>
      <c r="AL41" s="1218"/>
      <c r="AM41" s="1219"/>
    </row>
    <row r="42">
      <c r="B42" s="1210" t="str">
        <f>IFERROR(__xludf.DUMMYFUNCTION("""COMPUTED_VALUE"""),"アンザナ")</f>
        <v>アンザナ</v>
      </c>
      <c r="C42" s="1213">
        <f>IFERROR(__xludf.DUMMYFUNCTION("""COMPUTED_VALUE"""),1.0)</f>
        <v>1</v>
      </c>
      <c r="D42" s="1214" t="str">
        <f>IFERROR(__xludf.DUMMYFUNCTION("""COMPUTED_VALUE"""),"-")</f>
        <v>-</v>
      </c>
      <c r="E42" s="1215">
        <f>IFERROR(__xludf.DUMMYFUNCTION("""COMPUTED_VALUE"""),1.0)</f>
        <v>1</v>
      </c>
      <c r="F42" s="1214" t="str">
        <f>IFERROR(__xludf.DUMMYFUNCTION("""COMPUTED_VALUE"""),"その他")</f>
        <v>その他</v>
      </c>
      <c r="G42" s="1213">
        <f>IFERROR(__xludf.DUMMYFUNCTION("""COMPUTED_VALUE"""),2.0)</f>
        <v>2</v>
      </c>
      <c r="H42" s="1216" t="str">
        <f>IFERROR(__xludf.DUMMYFUNCTION("""COMPUTED_VALUE"""),"セット漏れ")</f>
        <v>セット漏れ</v>
      </c>
      <c r="I42" s="1211">
        <f>IFERROR(__xludf.DUMMYFUNCTION("""COMPUTED_VALUE"""),1.0)</f>
        <v>1</v>
      </c>
      <c r="J42" s="1217">
        <v>0.07142857142857142</v>
      </c>
      <c r="K42" s="1210" t="s">
        <v>41</v>
      </c>
      <c r="L42" s="1211">
        <f t="shared" si="5"/>
        <v>0</v>
      </c>
      <c r="M42" s="1212">
        <f t="shared" si="6"/>
        <v>0</v>
      </c>
      <c r="O42" s="1189" t="s">
        <v>52</v>
      </c>
      <c r="P42" s="1189" t="s">
        <v>1047</v>
      </c>
      <c r="Q42" s="1189" t="s">
        <v>41</v>
      </c>
      <c r="R42" s="1190"/>
      <c r="S42" s="1190"/>
      <c r="T42" s="1189" t="s">
        <v>654</v>
      </c>
      <c r="U42" s="1191" t="s">
        <v>1040</v>
      </c>
      <c r="W42" s="1190" t="str">
        <f>'🔵クレーム'!C33</f>
        <v>2月</v>
      </c>
      <c r="X42" s="1190" t="str">
        <f>'🔵クレーム'!D33</f>
        <v>18日</v>
      </c>
      <c r="Y42" s="1189" t="str">
        <f>'🔵クレーム'!I33</f>
        <v>残置</v>
      </c>
      <c r="Z42" s="1190" t="str">
        <f>'🔵クレーム'!J33</f>
        <v/>
      </c>
      <c r="AA42" s="1190" t="str">
        <f>'🔵クレーム'!K33</f>
        <v>デビ</v>
      </c>
      <c r="AB42" s="1190" t="str">
        <f>'🔵クレーム'!L33</f>
        <v>ギリ</v>
      </c>
      <c r="AC42" s="1192"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18"/>
      <c r="AL42" s="1218"/>
      <c r="AM42" s="1219"/>
    </row>
    <row r="43">
      <c r="B43" s="1210" t="str">
        <f>IFERROR(__xludf.DUMMYFUNCTION("""COMPUTED_VALUE"""),"ギリ")</f>
        <v>ギリ</v>
      </c>
      <c r="C43" s="1213">
        <f>IFERROR(__xludf.DUMMYFUNCTION("""COMPUTED_VALUE"""),1.0)</f>
        <v>1</v>
      </c>
      <c r="D43" s="1214" t="str">
        <f>IFERROR(__xludf.DUMMYFUNCTION("""COMPUTED_VALUE"""),"サビタ")</f>
        <v>サビタ</v>
      </c>
      <c r="E43" s="1215">
        <f>IFERROR(__xludf.DUMMYFUNCTION("""COMPUTED_VALUE"""),1.0)</f>
        <v>1</v>
      </c>
      <c r="F43" s="1214" t="str">
        <f>IFERROR(__xludf.DUMMYFUNCTION("""COMPUTED_VALUE"""),"セット漏れ")</f>
        <v>セット漏れ</v>
      </c>
      <c r="G43" s="1213">
        <f>IFERROR(__xludf.DUMMYFUNCTION("""COMPUTED_VALUE"""),1.0)</f>
        <v>1</v>
      </c>
      <c r="H43" s="1216" t="str">
        <f>IFERROR(__xludf.DUMMYFUNCTION("""COMPUTED_VALUE"""),"巻き込み")</f>
        <v>巻き込み</v>
      </c>
      <c r="I43" s="1211">
        <f>IFERROR(__xludf.DUMMYFUNCTION("""COMPUTED_VALUE"""),1.0)</f>
        <v>1</v>
      </c>
      <c r="J43" s="1217">
        <v>0.07142857142857142</v>
      </c>
      <c r="K43" s="1210" t="s">
        <v>43</v>
      </c>
      <c r="L43" s="1211">
        <f t="shared" si="5"/>
        <v>0</v>
      </c>
      <c r="M43" s="1212">
        <f t="shared" si="6"/>
        <v>0</v>
      </c>
      <c r="O43" s="1189" t="s">
        <v>54</v>
      </c>
      <c r="P43" s="1189" t="s">
        <v>1048</v>
      </c>
      <c r="Q43" s="1189" t="s">
        <v>39</v>
      </c>
      <c r="R43" s="1190"/>
      <c r="S43" s="1189" t="s">
        <v>1049</v>
      </c>
      <c r="T43" s="1189" t="s">
        <v>654</v>
      </c>
      <c r="U43" s="1191" t="s">
        <v>1050</v>
      </c>
      <c r="W43" s="1190" t="str">
        <f>'🔵クレーム'!C34</f>
        <v>2月</v>
      </c>
      <c r="X43" s="1190" t="str">
        <f>'🔵クレーム'!D34</f>
        <v>23日</v>
      </c>
      <c r="Y43" s="1189" t="str">
        <f>'🔵クレーム'!I34</f>
        <v>残置</v>
      </c>
      <c r="Z43" s="1190" t="str">
        <f>'🔵クレーム'!J34</f>
        <v/>
      </c>
      <c r="AA43" s="1190" t="str">
        <f>'🔵クレーム'!K34</f>
        <v>マニサ</v>
      </c>
      <c r="AB43" s="1190" t="str">
        <f>'🔵クレーム'!L34</f>
        <v>アルジュン</v>
      </c>
      <c r="AC43" s="1192"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18"/>
      <c r="AL43" s="1218"/>
      <c r="AM43" s="1219"/>
    </row>
    <row r="44">
      <c r="B44" s="1210" t="str">
        <f>IFERROR(__xludf.DUMMYFUNCTION("""COMPUTED_VALUE"""),"スレスタ")</f>
        <v>スレスタ</v>
      </c>
      <c r="C44" s="1213">
        <f>IFERROR(__xludf.DUMMYFUNCTION("""COMPUTED_VALUE"""),1.0)</f>
        <v>1</v>
      </c>
      <c r="D44" s="1214" t="str">
        <f>IFERROR(__xludf.DUMMYFUNCTION("""COMPUTED_VALUE"""),"バンダナ")</f>
        <v>バンダナ</v>
      </c>
      <c r="E44" s="1215">
        <f>IFERROR(__xludf.DUMMYFUNCTION("""COMPUTED_VALUE"""),1.0)</f>
        <v>1</v>
      </c>
      <c r="F44" s="1214" t="str">
        <f>IFERROR(__xludf.DUMMYFUNCTION("""COMPUTED_VALUE"""),"巻き込み")</f>
        <v>巻き込み</v>
      </c>
      <c r="G44" s="1213">
        <f>IFERROR(__xludf.DUMMYFUNCTION("""COMPUTED_VALUE"""),1.0)</f>
        <v>1</v>
      </c>
      <c r="H44" s="1216" t="str">
        <f>IFERROR(__xludf.DUMMYFUNCTION("""COMPUTED_VALUE"""),"清掃不備")</f>
        <v>清掃不備</v>
      </c>
      <c r="I44" s="1211">
        <f>IFERROR(__xludf.DUMMYFUNCTION("""COMPUTED_VALUE"""),1.0)</f>
        <v>1</v>
      </c>
      <c r="J44" s="1217">
        <v>0.07142857142857142</v>
      </c>
      <c r="K44" s="1210" t="s">
        <v>42</v>
      </c>
      <c r="L44" s="1211">
        <f t="shared" si="5"/>
        <v>0</v>
      </c>
      <c r="M44" s="1212">
        <f t="shared" si="6"/>
        <v>0</v>
      </c>
      <c r="O44" s="1189" t="s">
        <v>54</v>
      </c>
      <c r="P44" s="1189" t="s">
        <v>1051</v>
      </c>
      <c r="Q44" s="1189" t="s">
        <v>43</v>
      </c>
      <c r="R44" s="1190"/>
      <c r="S44" s="1189" t="s">
        <v>666</v>
      </c>
      <c r="T44" s="1189" t="s">
        <v>1052</v>
      </c>
      <c r="U44" s="1191" t="s">
        <v>1053</v>
      </c>
      <c r="W44" s="1190" t="str">
        <f>'🔵クレーム'!C35</f>
        <v>2月</v>
      </c>
      <c r="X44" s="1190" t="str">
        <f>'🔵クレーム'!D35</f>
        <v>4日</v>
      </c>
      <c r="Y44" s="1189" t="str">
        <f>'🔵クレーム'!I35</f>
        <v/>
      </c>
      <c r="Z44" s="1190" t="str">
        <f>'🔵クレーム'!J35</f>
        <v>口コミ</v>
      </c>
      <c r="AA44" s="1190" t="str">
        <f>'🔵クレーム'!K35</f>
        <v/>
      </c>
      <c r="AB44" s="1190" t="str">
        <f>'🔵クレーム'!L35</f>
        <v/>
      </c>
      <c r="AC44" s="1192"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18"/>
      <c r="AL44" s="1218"/>
      <c r="AM44" s="1219"/>
    </row>
    <row r="45">
      <c r="B45" s="1210" t="str">
        <f>IFERROR(__xludf.DUMMYFUNCTION("""COMPUTED_VALUE"""),"タパ")</f>
        <v>タパ</v>
      </c>
      <c r="C45" s="1213">
        <f>IFERROR(__xludf.DUMMYFUNCTION("""COMPUTED_VALUE"""),1.0)</f>
        <v>1</v>
      </c>
      <c r="D45" s="1214" t="str">
        <f>IFERROR(__xludf.DUMMYFUNCTION("""COMPUTED_VALUE"""),"ビニタ")</f>
        <v>ビニタ</v>
      </c>
      <c r="E45" s="1215">
        <f>IFERROR(__xludf.DUMMYFUNCTION("""COMPUTED_VALUE"""),1.0)</f>
        <v>1</v>
      </c>
      <c r="F45" s="1214" t="str">
        <f>IFERROR(__xludf.DUMMYFUNCTION("""COMPUTED_VALUE"""),"清掃不備")</f>
        <v>清掃不備</v>
      </c>
      <c r="G45" s="1213">
        <f>IFERROR(__xludf.DUMMYFUNCTION("""COMPUTED_VALUE"""),1.0)</f>
        <v>1</v>
      </c>
      <c r="H45" s="1216" t="str">
        <f>IFERROR(__xludf.DUMMYFUNCTION("""COMPUTED_VALUE"""),"破損")</f>
        <v>破損</v>
      </c>
      <c r="I45" s="1211">
        <f>IFERROR(__xludf.DUMMYFUNCTION("""COMPUTED_VALUE"""),1.0)</f>
        <v>1</v>
      </c>
      <c r="J45" s="1217">
        <v>0.07142857142857142</v>
      </c>
      <c r="K45" s="1210" t="s">
        <v>1054</v>
      </c>
      <c r="L45" s="1211">
        <f t="shared" si="5"/>
        <v>1</v>
      </c>
      <c r="M45" s="1212">
        <f t="shared" si="6"/>
        <v>0.25</v>
      </c>
      <c r="O45" s="1189" t="s">
        <v>54</v>
      </c>
      <c r="P45" s="1189" t="s">
        <v>198</v>
      </c>
      <c r="Q45" s="1189" t="s">
        <v>39</v>
      </c>
      <c r="R45" s="1190"/>
      <c r="S45" s="1189" t="s">
        <v>465</v>
      </c>
      <c r="T45" s="1189" t="s">
        <v>503</v>
      </c>
      <c r="U45" s="1191" t="s">
        <v>1055</v>
      </c>
      <c r="W45" s="1190" t="str">
        <f>'🔵クレーム'!C36</f>
        <v>2月</v>
      </c>
      <c r="X45" s="1190" t="str">
        <f>'🔵クレーム'!D36</f>
        <v>24日</v>
      </c>
      <c r="Y45" s="1189" t="str">
        <f>'🔵クレーム'!I36</f>
        <v/>
      </c>
      <c r="Z45" s="1190" t="str">
        <f>'🔵クレーム'!J36</f>
        <v>口コミ</v>
      </c>
      <c r="AA45" s="1190" t="str">
        <f>'🔵クレーム'!K36</f>
        <v/>
      </c>
      <c r="AB45" s="1190" t="str">
        <f>'🔵クレーム'!L36</f>
        <v/>
      </c>
      <c r="AC45" s="1192"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18"/>
      <c r="AL45" s="1218"/>
      <c r="AM45" s="1219"/>
    </row>
    <row r="46">
      <c r="B46" s="1210" t="str">
        <f>IFERROR(__xludf.DUMMYFUNCTION("""COMPUTED_VALUE"""),"ニュウレ")</f>
        <v>ニュウレ</v>
      </c>
      <c r="C46" s="1213">
        <f>IFERROR(__xludf.DUMMYFUNCTION("""COMPUTED_VALUE"""),1.0)</f>
        <v>1</v>
      </c>
      <c r="D46" s="1214" t="str">
        <f>IFERROR(__xludf.DUMMYFUNCTION("""COMPUTED_VALUE"""),"マニサ")</f>
        <v>マニサ</v>
      </c>
      <c r="E46" s="1215">
        <f>IFERROR(__xludf.DUMMYFUNCTION("""COMPUTED_VALUE"""),1.0)</f>
        <v>1</v>
      </c>
      <c r="F46" s="1214" t="str">
        <f>IFERROR(__xludf.DUMMYFUNCTION("""COMPUTED_VALUE"""),"破損")</f>
        <v>破損</v>
      </c>
      <c r="G46" s="1213">
        <f>IFERROR(__xludf.DUMMYFUNCTION("""COMPUTED_VALUE"""),1.0)</f>
        <v>1</v>
      </c>
      <c r="H46" s="1216"/>
      <c r="I46" s="1211"/>
      <c r="J46" s="1217" t="s">
        <v>1026</v>
      </c>
      <c r="K46" s="1210" t="s">
        <v>1056</v>
      </c>
      <c r="L46" s="1211">
        <f t="shared" si="5"/>
        <v>0</v>
      </c>
      <c r="M46" s="1212">
        <f t="shared" si="6"/>
        <v>0</v>
      </c>
      <c r="O46" s="1189" t="s">
        <v>54</v>
      </c>
      <c r="P46" s="1189" t="s">
        <v>1057</v>
      </c>
      <c r="Q46" s="1189" t="s">
        <v>43</v>
      </c>
      <c r="R46" s="1190"/>
      <c r="S46" s="1189" t="s">
        <v>1058</v>
      </c>
      <c r="T46" s="1189" t="s">
        <v>508</v>
      </c>
      <c r="U46" s="1191" t="s">
        <v>1059</v>
      </c>
      <c r="W46" s="1190" t="str">
        <f>'🔵クレーム'!C37</f>
        <v>3月</v>
      </c>
      <c r="X46" s="1190" t="str">
        <f>'🔵クレーム'!D37</f>
        <v>2日</v>
      </c>
      <c r="Y46" s="1189" t="str">
        <f>'🔵クレーム'!I37</f>
        <v>その他</v>
      </c>
      <c r="Z46" s="1190" t="str">
        <f>'🔵クレーム'!J37</f>
        <v/>
      </c>
      <c r="AA46" s="1190" t="str">
        <f>'🔵クレーム'!K37</f>
        <v>松岡</v>
      </c>
      <c r="AB46" s="1190" t="str">
        <f>'🔵クレーム'!L37</f>
        <v>ミナ</v>
      </c>
      <c r="AC46" s="1192" t="str">
        <f>'🔵クレーム'!N37</f>
        <v>エアコンの通気口が開いていた(直近での作業履歴なし)</v>
      </c>
      <c r="AE46" s="20" t="str">
        <f>IFERROR(__xludf.DUMMYFUNCTION("""COMPUTED_VALUE"""),"デビ")</f>
        <v>デビ</v>
      </c>
      <c r="AK46" s="1218"/>
      <c r="AL46" s="1218"/>
      <c r="AM46" s="1219"/>
    </row>
    <row r="47">
      <c r="B47" s="1210" t="str">
        <f>IFERROR(__xludf.DUMMYFUNCTION("""COMPUTED_VALUE"""),"ニル")</f>
        <v>ニル</v>
      </c>
      <c r="C47" s="1213">
        <f>IFERROR(__xludf.DUMMYFUNCTION("""COMPUTED_VALUE"""),1.0)</f>
        <v>1</v>
      </c>
      <c r="D47" s="1214" t="str">
        <f>IFERROR(__xludf.DUMMYFUNCTION("""COMPUTED_VALUE"""),"ライ")</f>
        <v>ライ</v>
      </c>
      <c r="E47" s="1215">
        <f>IFERROR(__xludf.DUMMYFUNCTION("""COMPUTED_VALUE"""),1.0)</f>
        <v>1</v>
      </c>
      <c r="F47" s="1220"/>
      <c r="G47" s="1221"/>
      <c r="H47" s="1216"/>
      <c r="I47" s="1211"/>
      <c r="J47" s="1217" t="s">
        <v>1026</v>
      </c>
      <c r="K47" s="1210" t="s">
        <v>1060</v>
      </c>
      <c r="L47" s="1211">
        <f t="shared" si="5"/>
        <v>0</v>
      </c>
      <c r="M47" s="1212">
        <f t="shared" si="6"/>
        <v>0</v>
      </c>
      <c r="O47" s="1189" t="s">
        <v>54</v>
      </c>
      <c r="P47" s="1189" t="s">
        <v>123</v>
      </c>
      <c r="Q47" s="1189" t="s">
        <v>39</v>
      </c>
      <c r="R47" s="1190"/>
      <c r="S47" s="1189" t="s">
        <v>139</v>
      </c>
      <c r="T47" s="1189" t="s">
        <v>508</v>
      </c>
      <c r="U47" s="1191" t="s">
        <v>1061</v>
      </c>
      <c r="W47" s="1190" t="str">
        <f>'🔵クレーム'!C38</f>
        <v>3月</v>
      </c>
      <c r="X47" s="1190" t="str">
        <f>'🔵クレーム'!D38</f>
        <v>6日</v>
      </c>
      <c r="Y47" s="1189" t="str">
        <f>'🔵クレーム'!I38</f>
        <v>汚れ</v>
      </c>
      <c r="Z47" s="1190" t="str">
        <f>'🔵クレーム'!J38</f>
        <v/>
      </c>
      <c r="AA47" s="1190" t="str">
        <f>'🔵クレーム'!K38</f>
        <v>ライ</v>
      </c>
      <c r="AB47" s="1190" t="str">
        <f>'🔵クレーム'!L38</f>
        <v>スレスタ</v>
      </c>
      <c r="AC47" s="1192" t="str">
        <f>'🔵クレーム'!N38</f>
        <v>宅配伝票に落書きがあった</v>
      </c>
      <c r="AE47" s="20" t="str">
        <f>IFERROR(__xludf.DUMMYFUNCTION("""COMPUTED_VALUE"""),"ニュウレ")</f>
        <v>ニュウレ</v>
      </c>
      <c r="AK47" s="1218"/>
      <c r="AL47" s="1218"/>
      <c r="AM47" s="1219"/>
    </row>
    <row r="48">
      <c r="B48" s="1210" t="str">
        <f>IFERROR(__xludf.DUMMYFUNCTION("""COMPUTED_VALUE"""),"バハドル")</f>
        <v>バハドル</v>
      </c>
      <c r="C48" s="1213">
        <f>IFERROR(__xludf.DUMMYFUNCTION("""COMPUTED_VALUE"""),1.0)</f>
        <v>1</v>
      </c>
      <c r="D48" s="1214" t="str">
        <f>IFERROR(__xludf.DUMMYFUNCTION("""COMPUTED_VALUE"""),"不明")</f>
        <v>不明</v>
      </c>
      <c r="E48" s="1215">
        <f>IFERROR(__xludf.DUMMYFUNCTION("""COMPUTED_VALUE"""),1.0)</f>
        <v>1</v>
      </c>
      <c r="F48" s="1220"/>
      <c r="G48" s="1221"/>
      <c r="H48" s="1216"/>
      <c r="I48" s="1211"/>
      <c r="J48" s="1217" t="s">
        <v>1026</v>
      </c>
      <c r="K48" s="1210" t="s">
        <v>1062</v>
      </c>
      <c r="L48" s="1211">
        <f t="shared" si="5"/>
        <v>0</v>
      </c>
      <c r="M48" s="1212">
        <f t="shared" si="6"/>
        <v>0</v>
      </c>
      <c r="O48" s="1189" t="s">
        <v>54</v>
      </c>
      <c r="P48" s="1189" t="s">
        <v>203</v>
      </c>
      <c r="Q48" s="1189" t="s">
        <v>41</v>
      </c>
      <c r="R48" s="1190"/>
      <c r="S48" s="1189" t="s">
        <v>674</v>
      </c>
      <c r="T48" s="1189" t="s">
        <v>502</v>
      </c>
      <c r="U48" s="1191" t="s">
        <v>1063</v>
      </c>
      <c r="W48" s="1190" t="str">
        <f>'🔵クレーム'!C39</f>
        <v>3月</v>
      </c>
      <c r="X48" s="1190" t="str">
        <f>'🔵クレーム'!D39</f>
        <v>6日</v>
      </c>
      <c r="Y48" s="1189" t="str">
        <f>'🔵クレーム'!I39</f>
        <v>汚れ</v>
      </c>
      <c r="Z48" s="1190" t="str">
        <f>'🔵クレーム'!J39</f>
        <v/>
      </c>
      <c r="AA48" s="1190" t="str">
        <f>'🔵クレーム'!K39</f>
        <v>佐竹</v>
      </c>
      <c r="AB48" s="1190" t="str">
        <f>'🔵クレーム'!L39</f>
        <v>バハドル</v>
      </c>
      <c r="AC48" s="1192" t="str">
        <f>'🔵クレーム'!N39</f>
        <v>ケトル内に食品汚れ</v>
      </c>
      <c r="AE48" s="20" t="str">
        <f>IFERROR(__xludf.DUMMYFUNCTION("""COMPUTED_VALUE"""),"ニル")</f>
        <v>ニル</v>
      </c>
      <c r="AK48" s="1218"/>
      <c r="AL48" s="1218"/>
      <c r="AM48" s="1219"/>
    </row>
    <row r="49">
      <c r="B49" s="1210" t="str">
        <f>IFERROR(__xludf.DUMMYFUNCTION("""COMPUTED_VALUE"""),"ミナ")</f>
        <v>ミナ</v>
      </c>
      <c r="C49" s="1213">
        <f>IFERROR(__xludf.DUMMYFUNCTION("""COMPUTED_VALUE"""),1.0)</f>
        <v>1</v>
      </c>
      <c r="D49" s="1214" t="str">
        <f>IFERROR(__xludf.DUMMYFUNCTION("""COMPUTED_VALUE"""),"佐竹")</f>
        <v>佐竹</v>
      </c>
      <c r="E49" s="1215">
        <f>IFERROR(__xludf.DUMMYFUNCTION("""COMPUTED_VALUE"""),1.0)</f>
        <v>1</v>
      </c>
      <c r="F49" s="1220"/>
      <c r="G49" s="1221"/>
      <c r="H49" s="1216"/>
      <c r="I49" s="1211"/>
      <c r="J49" s="1217" t="s">
        <v>1026</v>
      </c>
      <c r="K49" s="1210" t="s">
        <v>30</v>
      </c>
      <c r="L49" s="1211">
        <f t="shared" si="5"/>
        <v>1</v>
      </c>
      <c r="M49" s="1212">
        <f t="shared" si="6"/>
        <v>0.25</v>
      </c>
      <c r="O49" s="1189" t="s">
        <v>54</v>
      </c>
      <c r="P49" s="1189" t="s">
        <v>1064</v>
      </c>
      <c r="Q49" s="1189" t="s">
        <v>40</v>
      </c>
      <c r="R49" s="1190"/>
      <c r="S49" s="1189" t="s">
        <v>467</v>
      </c>
      <c r="T49" s="1189" t="s">
        <v>507</v>
      </c>
      <c r="U49" s="1191" t="s">
        <v>1065</v>
      </c>
      <c r="W49" s="1190" t="str">
        <f>'🔵クレーム'!C40</f>
        <v>3月</v>
      </c>
      <c r="X49" s="1190" t="str">
        <f>'🔵クレーム'!D40</f>
        <v>6日</v>
      </c>
      <c r="Y49" s="1189" t="str">
        <f>'🔵クレーム'!I40</f>
        <v>残置</v>
      </c>
      <c r="Z49" s="1190" t="str">
        <f>'🔵クレーム'!J40</f>
        <v/>
      </c>
      <c r="AA49" s="1190" t="str">
        <f>'🔵クレーム'!K40</f>
        <v>サビタ</v>
      </c>
      <c r="AB49" s="1190" t="str">
        <f>'🔵クレーム'!L40</f>
        <v>スシル</v>
      </c>
      <c r="AC49" s="1192" t="str">
        <f>'🔵クレーム'!N40</f>
        <v>ベッド下にヘアクリップ</v>
      </c>
      <c r="AE49" s="20" t="str">
        <f>IFERROR(__xludf.DUMMYFUNCTION("""COMPUTED_VALUE"""),"バハドル")</f>
        <v>バハドル</v>
      </c>
      <c r="AK49" s="1218"/>
      <c r="AL49" s="1218"/>
      <c r="AM49" s="1219"/>
    </row>
    <row r="50" collapsed="1">
      <c r="B50" s="1210" t="str">
        <f>IFERROR(__xludf.DUMMYFUNCTION("""COMPUTED_VALUE"""),"リジャル")</f>
        <v>リジャル</v>
      </c>
      <c r="C50" s="1213">
        <f>IFERROR(__xludf.DUMMYFUNCTION("""COMPUTED_VALUE"""),1.0)</f>
        <v>1</v>
      </c>
      <c r="D50" s="1214"/>
      <c r="E50" s="1215"/>
      <c r="F50" s="1220"/>
      <c r="G50" s="1221"/>
      <c r="H50" s="1216"/>
      <c r="I50" s="1211"/>
      <c r="J50" s="1217" t="s">
        <v>1026</v>
      </c>
      <c r="K50" s="1222" t="s">
        <v>362</v>
      </c>
      <c r="L50" s="1223">
        <f t="shared" si="5"/>
        <v>4</v>
      </c>
      <c r="M50" s="1224">
        <f t="shared" si="6"/>
        <v>1</v>
      </c>
      <c r="O50" s="1189" t="s">
        <v>54</v>
      </c>
      <c r="P50" s="1189" t="s">
        <v>108</v>
      </c>
      <c r="Q50" s="1189" t="s">
        <v>43</v>
      </c>
      <c r="R50" s="1190"/>
      <c r="S50" s="1189" t="s">
        <v>131</v>
      </c>
      <c r="T50" s="1189" t="s">
        <v>503</v>
      </c>
      <c r="U50" s="1191" t="s">
        <v>1066</v>
      </c>
      <c r="W50" s="1190" t="str">
        <f>'🔵クレーム'!C41</f>
        <v>3月</v>
      </c>
      <c r="X50" s="1190" t="str">
        <f>'🔵クレーム'!D41</f>
        <v>14日</v>
      </c>
      <c r="Y50" s="1189" t="str">
        <f>'🔵クレーム'!I41</f>
        <v>清掃不備</v>
      </c>
      <c r="Z50" s="1190" t="str">
        <f>'🔵クレーム'!J41</f>
        <v/>
      </c>
      <c r="AA50" s="1190" t="str">
        <f>'🔵クレーム'!K41</f>
        <v>松岡</v>
      </c>
      <c r="AB50" s="1190" t="str">
        <f>'🔵クレーム'!L41</f>
        <v>ニュウレ</v>
      </c>
      <c r="AC50" s="1192" t="str">
        <f>'🔵クレーム'!N41</f>
        <v>電子レンジ付近にガラス片</v>
      </c>
      <c r="AE50" s="20" t="str">
        <f>IFERROR(__xludf.DUMMYFUNCTION("""COMPUTED_VALUE"""),"バンダナ")</f>
        <v>バンダナ</v>
      </c>
      <c r="AK50" s="1218"/>
      <c r="AL50" s="1218"/>
      <c r="AM50" s="1219"/>
    </row>
    <row r="51" hidden="1" outlineLevel="1">
      <c r="B51" s="1210" t="str">
        <f>IFERROR(__xludf.DUMMYFUNCTION("""COMPUTED_VALUE"""),"不明")</f>
        <v>不明</v>
      </c>
      <c r="C51" s="1213">
        <f>IFERROR(__xludf.DUMMYFUNCTION("""COMPUTED_VALUE"""),1.0)</f>
        <v>1</v>
      </c>
      <c r="D51" s="1214"/>
      <c r="E51" s="1215"/>
      <c r="F51" s="1220"/>
      <c r="G51" s="1221"/>
      <c r="H51" s="1216"/>
      <c r="I51" s="1211"/>
      <c r="J51" s="1225" t="s">
        <v>1026</v>
      </c>
      <c r="K51" s="1183"/>
      <c r="O51" s="1189" t="s">
        <v>54</v>
      </c>
      <c r="P51" s="1189" t="s">
        <v>1048</v>
      </c>
      <c r="Q51" s="1189" t="s">
        <v>43</v>
      </c>
      <c r="R51" s="1190"/>
      <c r="S51" s="1189" t="s">
        <v>466</v>
      </c>
      <c r="T51" s="1189" t="s">
        <v>1067</v>
      </c>
      <c r="U51" s="1191" t="s">
        <v>1068</v>
      </c>
      <c r="W51" s="1190" t="str">
        <f>'🔵クレーム'!C42</f>
        <v>3月</v>
      </c>
      <c r="X51" s="1190" t="str">
        <f>'🔵クレーム'!D42</f>
        <v>18日</v>
      </c>
      <c r="Y51" s="1189" t="str">
        <f>'🔵クレーム'!I42</f>
        <v>残置</v>
      </c>
      <c r="Z51" s="1190" t="str">
        <f>'🔵クレーム'!J42</f>
        <v/>
      </c>
      <c r="AA51" s="1190" t="str">
        <f>'🔵クレーム'!K42</f>
        <v>ビニタ</v>
      </c>
      <c r="AB51" s="1190" t="str">
        <f>'🔵クレーム'!L42</f>
        <v>ニル</v>
      </c>
      <c r="AC51" s="1192" t="str">
        <f>'🔵クレーム'!N42</f>
        <v>開封済みの歯ブラシがセットされていた</v>
      </c>
      <c r="AE51" s="20" t="str">
        <f>IFERROR(__xludf.DUMMYFUNCTION("""COMPUTED_VALUE"""),"ビニタ")</f>
        <v>ビニタ</v>
      </c>
      <c r="AK51" s="1218"/>
      <c r="AL51" s="1218"/>
      <c r="AM51" s="1219"/>
    </row>
    <row r="52" hidden="1" outlineLevel="1">
      <c r="B52" s="1210"/>
      <c r="C52" s="1213"/>
      <c r="D52" s="1214"/>
      <c r="E52" s="1215"/>
      <c r="F52" s="1220"/>
      <c r="G52" s="1221"/>
      <c r="H52" s="1216"/>
      <c r="I52" s="1211"/>
      <c r="J52" s="1225" t="s">
        <v>1026</v>
      </c>
      <c r="O52" s="1189" t="s">
        <v>54</v>
      </c>
      <c r="P52" s="1189" t="s">
        <v>1041</v>
      </c>
      <c r="Q52" s="1189" t="s">
        <v>40</v>
      </c>
      <c r="R52" s="1190"/>
      <c r="S52" s="1189" t="s">
        <v>463</v>
      </c>
      <c r="T52" s="1189" t="s">
        <v>492</v>
      </c>
      <c r="U52" s="1191" t="s">
        <v>1069</v>
      </c>
      <c r="W52" s="1190" t="str">
        <f>'🔵クレーム'!C43</f>
        <v>3月</v>
      </c>
      <c r="X52" s="1190" t="str">
        <f>'🔵クレーム'!D43</f>
        <v>15日</v>
      </c>
      <c r="Y52" s="1189" t="str">
        <f>'🔵クレーム'!I43</f>
        <v/>
      </c>
      <c r="Z52" s="1190" t="str">
        <f>'🔵クレーム'!J43</f>
        <v>口コミ</v>
      </c>
      <c r="AA52" s="1190" t="str">
        <f>'🔵クレーム'!K43</f>
        <v/>
      </c>
      <c r="AB52" s="1190" t="str">
        <f>'🔵クレーム'!L43</f>
        <v/>
      </c>
      <c r="AC52" s="1192" t="str">
        <f>'🔵クレーム'!N43</f>
        <v>ティッシュ詰められすぎで取りづらい</v>
      </c>
      <c r="AE52" s="20" t="str">
        <f>IFERROR(__xludf.DUMMYFUNCTION("""COMPUTED_VALUE"""),"マニサ")</f>
        <v>マニサ</v>
      </c>
      <c r="AK52" s="1218"/>
    </row>
    <row r="53" hidden="1" outlineLevel="1">
      <c r="B53" s="1210"/>
      <c r="C53" s="1213"/>
      <c r="D53" s="1214"/>
      <c r="E53" s="1215"/>
      <c r="F53" s="1220"/>
      <c r="G53" s="1221"/>
      <c r="H53" s="1216"/>
      <c r="I53" s="1211"/>
      <c r="J53" s="1225" t="s">
        <v>1026</v>
      </c>
      <c r="O53" s="1189" t="s">
        <v>34</v>
      </c>
      <c r="P53" s="1189" t="s">
        <v>1051</v>
      </c>
      <c r="Q53" s="1189" t="s">
        <v>43</v>
      </c>
      <c r="R53" s="1190"/>
      <c r="S53" s="1189" t="s">
        <v>111</v>
      </c>
      <c r="T53" s="1189" t="s">
        <v>1070</v>
      </c>
      <c r="U53" s="1191" t="s">
        <v>1071</v>
      </c>
      <c r="W53" s="1190" t="str">
        <f>'🔵クレーム'!C44</f>
        <v>3月</v>
      </c>
      <c r="X53" s="1190" t="str">
        <f>'🔵クレーム'!D44</f>
        <v>22日</v>
      </c>
      <c r="Y53" s="1189" t="str">
        <f>'🔵クレーム'!I44</f>
        <v/>
      </c>
      <c r="Z53" s="1190" t="str">
        <f>'🔵クレーム'!J44</f>
        <v>口コミ</v>
      </c>
      <c r="AA53" s="1190" t="str">
        <f>'🔵クレーム'!K44</f>
        <v/>
      </c>
      <c r="AB53" s="1190" t="str">
        <f>'🔵クレーム'!L44</f>
        <v/>
      </c>
      <c r="AC53" s="1192" t="str">
        <f>'🔵クレーム'!N44</f>
        <v>お湯の温度が表示と違った</v>
      </c>
      <c r="AE53" s="20" t="str">
        <f>IFERROR(__xludf.DUMMYFUNCTION("""COMPUTED_VALUE"""),"ミナ")</f>
        <v>ミナ</v>
      </c>
    </row>
    <row r="54" hidden="1" outlineLevel="1">
      <c r="B54" s="1210"/>
      <c r="C54" s="1213"/>
      <c r="D54" s="1214"/>
      <c r="E54" s="1215"/>
      <c r="F54" s="1220"/>
      <c r="G54" s="1221"/>
      <c r="H54" s="1216"/>
      <c r="I54" s="1211"/>
      <c r="J54" s="1225" t="s">
        <v>1026</v>
      </c>
      <c r="O54" s="1189" t="s">
        <v>34</v>
      </c>
      <c r="P54" s="1189" t="s">
        <v>1036</v>
      </c>
      <c r="Q54" s="1189" t="s">
        <v>38</v>
      </c>
      <c r="R54" s="1190"/>
      <c r="S54" s="1189" t="s">
        <v>1049</v>
      </c>
      <c r="T54" s="1189" t="s">
        <v>669</v>
      </c>
      <c r="U54" s="1191" t="s">
        <v>1072</v>
      </c>
      <c r="W54" s="1190" t="str">
        <f>'🔵クレーム'!C45</f>
        <v>3月</v>
      </c>
      <c r="X54" s="1190" t="str">
        <f>'🔵クレーム'!D45</f>
        <v>30日</v>
      </c>
      <c r="Y54" s="1189" t="str">
        <f>'🔵クレーム'!I45</f>
        <v>汚れ</v>
      </c>
      <c r="Z54" s="1190" t="str">
        <f>'🔵クレーム'!J45</f>
        <v/>
      </c>
      <c r="AA54" s="1190" t="str">
        <f>'🔵クレーム'!K45</f>
        <v>バンダナ</v>
      </c>
      <c r="AB54" s="1190" t="str">
        <f>'🔵クレーム'!L45</f>
        <v>アンザナ</v>
      </c>
      <c r="AC54" s="1192" t="str">
        <f>'🔵クレーム'!N45</f>
        <v>メモ用紙に落書き</v>
      </c>
      <c r="AE54" s="20" t="str">
        <f>IFERROR(__xludf.DUMMYFUNCTION("""COMPUTED_VALUE"""),"ライ")</f>
        <v>ライ</v>
      </c>
    </row>
    <row r="55" hidden="1" outlineLevel="1">
      <c r="B55" s="1210"/>
      <c r="C55" s="1213"/>
      <c r="D55" s="1220"/>
      <c r="E55" s="1226"/>
      <c r="F55" s="1220"/>
      <c r="G55" s="1221"/>
      <c r="H55" s="1216"/>
      <c r="I55" s="1211"/>
      <c r="J55" s="1225" t="s">
        <v>1026</v>
      </c>
      <c r="O55" s="1189" t="s">
        <v>34</v>
      </c>
      <c r="P55" s="1189" t="s">
        <v>1073</v>
      </c>
      <c r="Q55" s="1189" t="s">
        <v>41</v>
      </c>
      <c r="R55" s="1190"/>
      <c r="S55" s="1189" t="s">
        <v>468</v>
      </c>
      <c r="T55" s="1189" t="s">
        <v>498</v>
      </c>
      <c r="U55" s="1191" t="s">
        <v>1074</v>
      </c>
      <c r="W55" s="1190" t="str">
        <f>'🔵クレーム'!C46</f>
        <v>4月</v>
      </c>
      <c r="X55" s="1190" t="str">
        <f>'🔵クレーム'!D46</f>
        <v>8日</v>
      </c>
      <c r="Y55" s="1189" t="str">
        <f>'🔵クレーム'!I46</f>
        <v>汚れ</v>
      </c>
      <c r="Z55" s="1190" t="str">
        <f>'🔵クレーム'!J46</f>
        <v/>
      </c>
      <c r="AA55" s="1190" t="str">
        <f>'🔵クレーム'!K46</f>
        <v>デビ</v>
      </c>
      <c r="AB55" s="1190" t="str">
        <f>'🔵クレーム'!L46</f>
        <v>タパ</v>
      </c>
      <c r="AC55" s="1192" t="str">
        <f>'🔵クレーム'!N46</f>
        <v>トイレ内の汚れ</v>
      </c>
      <c r="AE55" s="20" t="str">
        <f>IFERROR(__xludf.DUMMYFUNCTION("""COMPUTED_VALUE"""),"リジャル")</f>
        <v>リジャル</v>
      </c>
    </row>
    <row r="56" hidden="1" outlineLevel="1">
      <c r="B56" s="1210"/>
      <c r="C56" s="1213"/>
      <c r="D56" s="1220"/>
      <c r="E56" s="1226"/>
      <c r="F56" s="1220"/>
      <c r="G56" s="1221"/>
      <c r="H56" s="1216"/>
      <c r="I56" s="1211"/>
      <c r="J56" s="1225" t="s">
        <v>1026</v>
      </c>
      <c r="O56" s="1189" t="s">
        <v>34</v>
      </c>
      <c r="P56" s="1189" t="s">
        <v>1075</v>
      </c>
      <c r="Q56" s="1189" t="s">
        <v>39</v>
      </c>
      <c r="R56" s="1190"/>
      <c r="S56" s="1189" t="s">
        <v>468</v>
      </c>
      <c r="T56" s="1189" t="s">
        <v>497</v>
      </c>
      <c r="U56" s="1191" t="s">
        <v>1076</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c r="AE56" s="20" t="str">
        <f>IFERROR(__xludf.DUMMYFUNCTION("""COMPUTED_VALUE"""),"佐竹")</f>
        <v>佐竹</v>
      </c>
    </row>
    <row r="57" hidden="1" outlineLevel="1">
      <c r="B57" s="1210"/>
      <c r="C57" s="1213"/>
      <c r="D57" s="1220"/>
      <c r="E57" s="1226"/>
      <c r="F57" s="1220"/>
      <c r="G57" s="1221"/>
      <c r="H57" s="1216"/>
      <c r="I57" s="1211"/>
      <c r="J57" s="1225" t="s">
        <v>1026</v>
      </c>
      <c r="O57" s="1189" t="s">
        <v>34</v>
      </c>
      <c r="P57" s="1189" t="s">
        <v>151</v>
      </c>
      <c r="Q57" s="1189" t="s">
        <v>39</v>
      </c>
      <c r="R57" s="1190"/>
      <c r="S57" s="1189" t="s">
        <v>468</v>
      </c>
      <c r="T57" s="1189" t="s">
        <v>517</v>
      </c>
      <c r="U57" s="1191" t="s">
        <v>1077</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c r="AE57" s="20" t="str">
        <f>IFERROR(__xludf.DUMMYFUNCTION("""COMPUTED_VALUE"""),"松岡")</f>
        <v>松岡</v>
      </c>
    </row>
    <row r="58" hidden="1" outlineLevel="1">
      <c r="B58" s="1210"/>
      <c r="C58" s="1213"/>
      <c r="D58" s="1220"/>
      <c r="E58" s="1226"/>
      <c r="F58" s="1220"/>
      <c r="G58" s="1221"/>
      <c r="H58" s="1216"/>
      <c r="I58" s="1211"/>
      <c r="J58" s="1225" t="s">
        <v>1026</v>
      </c>
      <c r="O58" s="1189" t="s">
        <v>34</v>
      </c>
      <c r="P58" s="1189" t="s">
        <v>210</v>
      </c>
      <c r="Q58" s="1189" t="s">
        <v>43</v>
      </c>
      <c r="R58" s="1190"/>
      <c r="S58" s="1189" t="s">
        <v>1078</v>
      </c>
      <c r="T58" s="1189" t="s">
        <v>500</v>
      </c>
      <c r="U58" s="1191" t="s">
        <v>1079</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c r="AE58" s="20" t="str">
        <f>IFERROR(__xludf.DUMMYFUNCTION("""COMPUTED_VALUE"""),"不明")</f>
        <v>不明</v>
      </c>
    </row>
    <row r="59" hidden="1" outlineLevel="1">
      <c r="B59" s="1210"/>
      <c r="C59" s="1213"/>
      <c r="D59" s="1220"/>
      <c r="E59" s="1226"/>
      <c r="F59" s="1220"/>
      <c r="G59" s="1221"/>
      <c r="H59" s="1216"/>
      <c r="I59" s="1211"/>
      <c r="J59" s="1225" t="s">
        <v>1026</v>
      </c>
      <c r="O59" s="1189" t="s">
        <v>34</v>
      </c>
      <c r="P59" s="1189" t="s">
        <v>1075</v>
      </c>
      <c r="Q59" s="1189" t="s">
        <v>30</v>
      </c>
      <c r="R59" s="1190"/>
      <c r="S59" s="1189" t="s">
        <v>674</v>
      </c>
      <c r="T59" s="1189" t="s">
        <v>1070</v>
      </c>
      <c r="U59" s="1191" t="s">
        <v>1080</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c r="AE59" s="20" t="str">
        <f>IFERROR(__xludf.DUMMYFUNCTION("""COMPUTED_VALUE"""),"富田")</f>
        <v>富田</v>
      </c>
    </row>
    <row r="60" hidden="1" outlineLevel="1">
      <c r="B60" s="1210"/>
      <c r="C60" s="1213"/>
      <c r="D60" s="1220"/>
      <c r="E60" s="1226"/>
      <c r="F60" s="1220"/>
      <c r="G60" s="1221"/>
      <c r="H60" s="1216"/>
      <c r="I60" s="1211"/>
      <c r="J60" s="1225" t="s">
        <v>1026</v>
      </c>
      <c r="O60" s="1189" t="s">
        <v>57</v>
      </c>
      <c r="P60" s="1189" t="s">
        <v>1073</v>
      </c>
      <c r="Q60" s="1189" t="s">
        <v>43</v>
      </c>
      <c r="R60" s="1190"/>
      <c r="S60" s="1189" t="s">
        <v>111</v>
      </c>
      <c r="T60" s="1189" t="s">
        <v>162</v>
      </c>
      <c r="U60" s="1191" t="s">
        <v>1081</v>
      </c>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1026</v>
      </c>
      <c r="O61" s="1189" t="s">
        <v>57</v>
      </c>
      <c r="P61" s="1189" t="s">
        <v>1082</v>
      </c>
      <c r="Q61" s="1189" t="s">
        <v>39</v>
      </c>
      <c r="R61" s="1190"/>
      <c r="S61" s="1189" t="s">
        <v>111</v>
      </c>
      <c r="T61" s="1189" t="s">
        <v>1083</v>
      </c>
      <c r="U61" s="1191" t="s">
        <v>1084</v>
      </c>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1026</v>
      </c>
      <c r="O62" s="1189" t="s">
        <v>57</v>
      </c>
      <c r="P62" s="1189" t="s">
        <v>1085</v>
      </c>
      <c r="Q62" s="1189" t="s">
        <v>40</v>
      </c>
      <c r="R62" s="1190"/>
      <c r="S62" s="1189" t="s">
        <v>666</v>
      </c>
      <c r="T62" s="1189" t="s">
        <v>111</v>
      </c>
      <c r="U62" s="1191" t="s">
        <v>1086</v>
      </c>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1026</v>
      </c>
      <c r="O63" s="1189" t="s">
        <v>57</v>
      </c>
      <c r="P63" s="1189" t="s">
        <v>123</v>
      </c>
      <c r="Q63" s="1189" t="s">
        <v>41</v>
      </c>
      <c r="R63" s="1190"/>
      <c r="S63" s="1189" t="s">
        <v>666</v>
      </c>
      <c r="T63" s="1189" t="s">
        <v>669</v>
      </c>
      <c r="U63" s="1191" t="s">
        <v>1087</v>
      </c>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1026</v>
      </c>
      <c r="O64" s="1189" t="s">
        <v>57</v>
      </c>
      <c r="P64" s="1189" t="s">
        <v>1073</v>
      </c>
      <c r="Q64" s="1189" t="s">
        <v>41</v>
      </c>
      <c r="R64" s="1190"/>
      <c r="S64" s="1189" t="s">
        <v>465</v>
      </c>
      <c r="T64" s="1189" t="s">
        <v>1088</v>
      </c>
      <c r="U64" s="1191" t="s">
        <v>1089</v>
      </c>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1026</v>
      </c>
      <c r="O65" s="1189" t="s">
        <v>57</v>
      </c>
      <c r="P65" s="1189" t="s">
        <v>1047</v>
      </c>
      <c r="Q65" s="1189" t="s">
        <v>43</v>
      </c>
      <c r="R65" s="1190"/>
      <c r="S65" s="1189" t="s">
        <v>1058</v>
      </c>
      <c r="T65" s="1189" t="s">
        <v>1090</v>
      </c>
      <c r="U65" s="1191" t="s">
        <v>1091</v>
      </c>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1026</v>
      </c>
      <c r="O66" s="1189" t="s">
        <v>57</v>
      </c>
      <c r="P66" s="1189" t="s">
        <v>193</v>
      </c>
      <c r="Q66" s="1189" t="s">
        <v>41</v>
      </c>
      <c r="R66" s="1190"/>
      <c r="S66" s="1189" t="s">
        <v>139</v>
      </c>
      <c r="T66" s="1189" t="s">
        <v>492</v>
      </c>
      <c r="U66" s="1191" t="s">
        <v>1092</v>
      </c>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1026</v>
      </c>
      <c r="O67" s="1189" t="s">
        <v>57</v>
      </c>
      <c r="P67" s="1189" t="s">
        <v>1093</v>
      </c>
      <c r="Q67" s="1189" t="s">
        <v>40</v>
      </c>
      <c r="R67" s="1190"/>
      <c r="S67" s="1189" t="s">
        <v>167</v>
      </c>
      <c r="T67" s="1189" t="s">
        <v>117</v>
      </c>
      <c r="U67" s="1191" t="s">
        <v>1094</v>
      </c>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7"/>
      <c r="C68" s="1221"/>
      <c r="D68" s="1220"/>
      <c r="E68" s="1226"/>
      <c r="F68" s="1220"/>
      <c r="G68" s="1221"/>
      <c r="H68" s="1216"/>
      <c r="I68" s="1211"/>
      <c r="J68" s="1225" t="s">
        <v>1026</v>
      </c>
      <c r="O68" s="1189" t="s">
        <v>57</v>
      </c>
      <c r="P68" s="1189" t="s">
        <v>1082</v>
      </c>
      <c r="Q68" s="1189" t="s">
        <v>39</v>
      </c>
      <c r="R68" s="1190"/>
      <c r="S68" s="1189" t="s">
        <v>674</v>
      </c>
      <c r="T68" s="1189" t="s">
        <v>502</v>
      </c>
      <c r="U68" s="1191" t="s">
        <v>1095</v>
      </c>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1026</v>
      </c>
      <c r="O69" s="1189" t="s">
        <v>57</v>
      </c>
      <c r="P69" s="1189" t="s">
        <v>1075</v>
      </c>
      <c r="Q69" s="1189" t="s">
        <v>41</v>
      </c>
      <c r="R69" s="1190"/>
      <c r="S69" s="1189" t="s">
        <v>463</v>
      </c>
      <c r="T69" s="1189" t="s">
        <v>1096</v>
      </c>
      <c r="U69" s="1191" t="s">
        <v>1097</v>
      </c>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1026</v>
      </c>
      <c r="O70" s="1189" t="s">
        <v>57</v>
      </c>
      <c r="P70" s="1189" t="s">
        <v>198</v>
      </c>
      <c r="Q70" s="1189" t="s">
        <v>39</v>
      </c>
      <c r="R70" s="1190"/>
      <c r="S70" s="1189" t="s">
        <v>463</v>
      </c>
      <c r="T70" s="1189" t="s">
        <v>503</v>
      </c>
      <c r="U70" s="1191" t="s">
        <v>1098</v>
      </c>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1026</v>
      </c>
      <c r="O71" s="1189" t="s">
        <v>59</v>
      </c>
      <c r="P71" s="1189" t="s">
        <v>1099</v>
      </c>
      <c r="Q71" s="1189" t="s">
        <v>39</v>
      </c>
      <c r="R71" s="1190"/>
      <c r="S71" s="1189" t="s">
        <v>1049</v>
      </c>
      <c r="T71" s="1189" t="s">
        <v>500</v>
      </c>
      <c r="U71" s="1191" t="s">
        <v>1100</v>
      </c>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1026</v>
      </c>
      <c r="O72" s="1189" t="s">
        <v>59</v>
      </c>
      <c r="P72" s="1189" t="s">
        <v>1057</v>
      </c>
      <c r="Q72" s="1189" t="s">
        <v>40</v>
      </c>
      <c r="R72" s="1190"/>
      <c r="S72" s="1189" t="s">
        <v>670</v>
      </c>
      <c r="T72" s="1189" t="s">
        <v>1101</v>
      </c>
      <c r="U72" s="1191" t="s">
        <v>1102</v>
      </c>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1026</v>
      </c>
      <c r="O73" s="1189" t="s">
        <v>59</v>
      </c>
      <c r="P73" s="1189" t="s">
        <v>210</v>
      </c>
      <c r="Q73" s="1189" t="s">
        <v>40</v>
      </c>
      <c r="R73" s="1190"/>
      <c r="S73" s="1189" t="s">
        <v>466</v>
      </c>
      <c r="T73" s="1189" t="s">
        <v>469</v>
      </c>
      <c r="U73" s="1191" t="s">
        <v>1103</v>
      </c>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1026</v>
      </c>
      <c r="O74" s="1189" t="s">
        <v>59</v>
      </c>
      <c r="P74" s="1189" t="s">
        <v>1104</v>
      </c>
      <c r="Q74" s="1189" t="s">
        <v>41</v>
      </c>
      <c r="R74" s="1190"/>
      <c r="S74" s="1189" t="s">
        <v>466</v>
      </c>
      <c r="T74" s="1189" t="s">
        <v>504</v>
      </c>
      <c r="U74" s="1191" t="s">
        <v>1105</v>
      </c>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1026</v>
      </c>
      <c r="O75" s="1189" t="s">
        <v>59</v>
      </c>
      <c r="P75" s="1189" t="s">
        <v>1106</v>
      </c>
      <c r="Q75" s="1189" t="s">
        <v>40</v>
      </c>
      <c r="R75" s="1190"/>
      <c r="S75" s="1189" t="s">
        <v>466</v>
      </c>
      <c r="T75" s="1189" t="s">
        <v>147</v>
      </c>
      <c r="U75" s="1191" t="s">
        <v>1107</v>
      </c>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1026</v>
      </c>
      <c r="O76" s="1189" t="s">
        <v>61</v>
      </c>
      <c r="P76" s="1189" t="s">
        <v>161</v>
      </c>
      <c r="Q76" s="1189" t="s">
        <v>40</v>
      </c>
      <c r="R76" s="1190"/>
      <c r="S76" s="1189" t="s">
        <v>666</v>
      </c>
      <c r="T76" s="1189" t="s">
        <v>111</v>
      </c>
      <c r="U76" s="1191" t="s">
        <v>1108</v>
      </c>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1026</v>
      </c>
      <c r="O77" s="1189" t="s">
        <v>61</v>
      </c>
      <c r="P77" s="1189" t="s">
        <v>161</v>
      </c>
      <c r="Q77" s="1189" t="s">
        <v>43</v>
      </c>
      <c r="R77" s="1190"/>
      <c r="S77" s="1189" t="s">
        <v>111</v>
      </c>
      <c r="T77" s="1189" t="s">
        <v>654</v>
      </c>
      <c r="U77" s="1191" t="s">
        <v>1109</v>
      </c>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1026</v>
      </c>
      <c r="O78" s="1189" t="s">
        <v>61</v>
      </c>
      <c r="P78" s="1189" t="s">
        <v>1093</v>
      </c>
      <c r="Q78" s="1189" t="s">
        <v>39</v>
      </c>
      <c r="R78" s="1190"/>
      <c r="S78" s="1189" t="s">
        <v>178</v>
      </c>
      <c r="T78" s="1189" t="s">
        <v>508</v>
      </c>
      <c r="U78" s="1191" t="s">
        <v>1110</v>
      </c>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1026</v>
      </c>
      <c r="O79" s="1189" t="s">
        <v>61</v>
      </c>
      <c r="P79" s="1189" t="s">
        <v>1075</v>
      </c>
      <c r="Q79" s="1189" t="s">
        <v>28</v>
      </c>
      <c r="R79" s="1190"/>
      <c r="S79" s="1189" t="s">
        <v>111</v>
      </c>
      <c r="T79" s="1189" t="s">
        <v>111</v>
      </c>
      <c r="U79" s="1191" t="s">
        <v>1111</v>
      </c>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1026</v>
      </c>
      <c r="O80" s="1189" t="s">
        <v>61</v>
      </c>
      <c r="P80" s="1189" t="s">
        <v>193</v>
      </c>
      <c r="Q80" s="1189" t="s">
        <v>39</v>
      </c>
      <c r="R80" s="1190"/>
      <c r="S80" s="1189" t="s">
        <v>100</v>
      </c>
      <c r="T80" s="1189" t="s">
        <v>1042</v>
      </c>
      <c r="U80" s="1191" t="s">
        <v>1112</v>
      </c>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1026</v>
      </c>
      <c r="O81" s="1189" t="s">
        <v>61</v>
      </c>
      <c r="P81" s="1189" t="s">
        <v>1047</v>
      </c>
      <c r="Q81" s="1189" t="s">
        <v>43</v>
      </c>
      <c r="R81" s="1190"/>
      <c r="S81" s="1189" t="s">
        <v>131</v>
      </c>
      <c r="T81" s="1189" t="s">
        <v>111</v>
      </c>
      <c r="U81" s="1191" t="s">
        <v>1113</v>
      </c>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1026</v>
      </c>
      <c r="O82" s="1189" t="s">
        <v>61</v>
      </c>
      <c r="P82" s="1189" t="s">
        <v>198</v>
      </c>
      <c r="Q82" s="1189" t="s">
        <v>41</v>
      </c>
      <c r="R82" s="1190"/>
      <c r="S82" s="1189" t="s">
        <v>111</v>
      </c>
      <c r="T82" s="1189" t="s">
        <v>496</v>
      </c>
      <c r="U82" s="1191" t="s">
        <v>1114</v>
      </c>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1026</v>
      </c>
      <c r="O83" s="1189" t="s">
        <v>61</v>
      </c>
      <c r="P83" s="1189" t="s">
        <v>1057</v>
      </c>
      <c r="Q83" s="1189" t="s">
        <v>41</v>
      </c>
      <c r="R83" s="1190"/>
      <c r="S83" s="1189" t="s">
        <v>674</v>
      </c>
      <c r="T83" s="1189" t="s">
        <v>496</v>
      </c>
      <c r="U83" s="1191" t="s">
        <v>1115</v>
      </c>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1026</v>
      </c>
      <c r="O84" s="1189" t="s">
        <v>61</v>
      </c>
      <c r="P84" s="1189" t="s">
        <v>1051</v>
      </c>
      <c r="Q84" s="1189" t="s">
        <v>28</v>
      </c>
      <c r="R84" s="1190"/>
      <c r="S84" s="1189" t="s">
        <v>111</v>
      </c>
      <c r="T84" s="1189" t="s">
        <v>111</v>
      </c>
      <c r="U84" s="1191" t="s">
        <v>1116</v>
      </c>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1026</v>
      </c>
      <c r="O85" s="1189" t="s">
        <v>61</v>
      </c>
      <c r="P85" s="1189" t="s">
        <v>1064</v>
      </c>
      <c r="Q85" s="1189" t="s">
        <v>40</v>
      </c>
      <c r="R85" s="1190"/>
      <c r="S85" s="1189" t="s">
        <v>1117</v>
      </c>
      <c r="T85" s="1189" t="s">
        <v>508</v>
      </c>
      <c r="U85" s="1191" t="s">
        <v>1118</v>
      </c>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1026</v>
      </c>
      <c r="O86" s="1189" t="s">
        <v>61</v>
      </c>
      <c r="P86" s="1189" t="s">
        <v>1064</v>
      </c>
      <c r="Q86" s="1189" t="s">
        <v>28</v>
      </c>
      <c r="R86" s="1190"/>
      <c r="S86" s="1189" t="s">
        <v>111</v>
      </c>
      <c r="T86" s="1189" t="s">
        <v>111</v>
      </c>
      <c r="U86" s="1191" t="s">
        <v>1119</v>
      </c>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1026</v>
      </c>
      <c r="O87" s="1189" t="s">
        <v>63</v>
      </c>
      <c r="P87" s="1189" t="s">
        <v>98</v>
      </c>
      <c r="Q87" s="1189" t="s">
        <v>28</v>
      </c>
      <c r="R87" s="1190"/>
      <c r="S87" s="1189" t="s">
        <v>102</v>
      </c>
      <c r="T87" s="1189" t="s">
        <v>102</v>
      </c>
      <c r="U87" s="1191" t="s">
        <v>1120</v>
      </c>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1026</v>
      </c>
      <c r="O88" s="1189" t="s">
        <v>63</v>
      </c>
      <c r="P88" s="1189" t="s">
        <v>1121</v>
      </c>
      <c r="Q88" s="1189" t="s">
        <v>28</v>
      </c>
      <c r="R88" s="1190"/>
      <c r="S88" s="1189" t="s">
        <v>102</v>
      </c>
      <c r="T88" s="1189" t="s">
        <v>102</v>
      </c>
      <c r="U88" s="1191" t="s">
        <v>1122</v>
      </c>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1026</v>
      </c>
      <c r="O89" s="1189" t="s">
        <v>63</v>
      </c>
      <c r="P89" s="1189" t="s">
        <v>193</v>
      </c>
      <c r="Q89" s="1189" t="s">
        <v>28</v>
      </c>
      <c r="R89" s="1190"/>
      <c r="S89" s="1189" t="s">
        <v>102</v>
      </c>
      <c r="T89" s="1189" t="s">
        <v>102</v>
      </c>
      <c r="U89" s="1191" t="s">
        <v>1123</v>
      </c>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8"/>
      <c r="C90" s="1229"/>
      <c r="D90" s="1230"/>
      <c r="E90" s="1231"/>
      <c r="F90" s="1230"/>
      <c r="G90" s="1229"/>
      <c r="H90" s="1230"/>
      <c r="I90" s="1223"/>
      <c r="J90" s="1231" t="s">
        <v>1026</v>
      </c>
      <c r="O90" s="1189" t="s">
        <v>63</v>
      </c>
      <c r="P90" s="1189" t="s">
        <v>1104</v>
      </c>
      <c r="Q90" s="1189" t="s">
        <v>41</v>
      </c>
      <c r="R90" s="1190"/>
      <c r="S90" s="1189" t="s">
        <v>111</v>
      </c>
      <c r="T90" s="1189" t="s">
        <v>469</v>
      </c>
      <c r="U90" s="1191" t="s">
        <v>1124</v>
      </c>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180"/>
      <c r="C91" s="1180"/>
      <c r="D91" s="1180"/>
      <c r="E91" s="1180"/>
      <c r="F91" s="1180"/>
      <c r="G91" s="1180"/>
      <c r="H91" s="1180"/>
      <c r="I91" s="1180"/>
      <c r="J91" s="1180" t="s">
        <v>1026</v>
      </c>
      <c r="K91" s="1180"/>
      <c r="L91" s="1180"/>
      <c r="M91" s="1180"/>
      <c r="O91" s="1189" t="s">
        <v>63</v>
      </c>
      <c r="P91" s="1189" t="s">
        <v>1104</v>
      </c>
      <c r="Q91" s="1189" t="s">
        <v>39</v>
      </c>
      <c r="R91" s="1190"/>
      <c r="S91" s="1189" t="s">
        <v>674</v>
      </c>
      <c r="T91" s="1189" t="s">
        <v>496</v>
      </c>
      <c r="U91" s="1191" t="s">
        <v>1125</v>
      </c>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2" t="s">
        <v>1126</v>
      </c>
      <c r="C92" s="1112"/>
      <c r="D92" s="1112"/>
      <c r="E92" s="1112"/>
      <c r="F92" s="1112"/>
      <c r="G92" s="1112"/>
      <c r="H92" s="1112"/>
      <c r="I92" s="1112"/>
      <c r="J92" s="1112"/>
      <c r="K92" s="1112"/>
      <c r="L92" s="1112"/>
      <c r="M92" s="1113"/>
      <c r="O92" s="1189"/>
      <c r="P92" s="1189"/>
      <c r="Q92" s="1189"/>
      <c r="R92" s="1190"/>
      <c r="S92" s="1189"/>
      <c r="T92" s="1189"/>
      <c r="U92" s="1191"/>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3" t="s">
        <v>1127</v>
      </c>
      <c r="C93" s="235"/>
      <c r="D93" s="1234" t="s">
        <v>1028</v>
      </c>
      <c r="F93" s="5"/>
      <c r="M93" s="1184"/>
      <c r="O93" s="1189" t="s">
        <v>63</v>
      </c>
      <c r="P93" s="1189" t="s">
        <v>1048</v>
      </c>
      <c r="Q93" s="1189" t="s">
        <v>38</v>
      </c>
      <c r="R93" s="1190"/>
      <c r="S93" s="1189" t="s">
        <v>463</v>
      </c>
      <c r="T93" s="1189" t="s">
        <v>493</v>
      </c>
      <c r="U93" s="1191" t="s">
        <v>1128</v>
      </c>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5" t="s">
        <v>81</v>
      </c>
      <c r="C94" s="1236" t="s">
        <v>82</v>
      </c>
      <c r="D94" s="1236" t="s">
        <v>79</v>
      </c>
      <c r="E94" s="1237" t="s">
        <v>89</v>
      </c>
      <c r="F94" s="1237" t="s">
        <v>90</v>
      </c>
      <c r="G94" s="1238" t="s">
        <v>92</v>
      </c>
      <c r="H94" s="1239"/>
      <c r="I94" s="1239"/>
      <c r="J94" s="1239"/>
      <c r="K94" s="1239"/>
      <c r="L94" s="1239"/>
      <c r="M94" s="1240"/>
      <c r="O94" s="1189" t="s">
        <v>63</v>
      </c>
      <c r="P94" s="1189" t="s">
        <v>1057</v>
      </c>
      <c r="Q94" s="1189" t="s">
        <v>39</v>
      </c>
      <c r="R94" s="1190"/>
      <c r="S94" s="1189" t="s">
        <v>467</v>
      </c>
      <c r="T94" s="1189" t="s">
        <v>1129</v>
      </c>
      <c r="U94" s="1191" t="s">
        <v>1130</v>
      </c>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2" t="str">
        <f>IFERROR(__xludf.DUMMYFUNCTION("""COMPUTED_VALUE"""),"1日")</f>
        <v>1日</v>
      </c>
      <c r="D95" s="1243" t="str">
        <f>IFERROR(__xludf.DUMMYFUNCTION("""COMPUTED_VALUE"""),"残置")</f>
        <v>残置</v>
      </c>
      <c r="E95" s="932" t="str">
        <f>IFERROR(__xludf.DUMMYFUNCTION("""COMPUTED_VALUE"""),"不明")</f>
        <v>不明</v>
      </c>
      <c r="F95" s="932" t="str">
        <f>IFERROR(__xludf.DUMMYFUNCTION("""COMPUTED_VALUE"""),"不明")</f>
        <v>不明</v>
      </c>
      <c r="G95" s="124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5"/>
      <c r="O95" s="1189" t="s">
        <v>65</v>
      </c>
      <c r="P95" s="1189" t="s">
        <v>1073</v>
      </c>
      <c r="Q95" s="1189" t="s">
        <v>41</v>
      </c>
      <c r="R95" s="1190"/>
      <c r="S95" s="1189" t="s">
        <v>463</v>
      </c>
      <c r="T95" s="1189" t="s">
        <v>672</v>
      </c>
      <c r="U95" s="1191" t="s">
        <v>1131</v>
      </c>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6" t="str">
        <f>IFERROR(__xludf.DUMMYFUNCTION("""COMPUTED_VALUE"""),"2月")</f>
        <v>2月</v>
      </c>
      <c r="C96" s="932" t="str">
        <f>IFERROR(__xludf.DUMMYFUNCTION("""COMPUTED_VALUE"""),"4日")</f>
        <v>4日</v>
      </c>
      <c r="D96" s="932" t="str">
        <f>IFERROR(__xludf.DUMMYFUNCTION("""COMPUTED_VALUE"""),"口コミ")</f>
        <v>口コミ</v>
      </c>
      <c r="E96" s="932"/>
      <c r="F96" s="932"/>
      <c r="G96" s="1244" t="str">
        <f>IFERROR(__xludf.DUMMYFUNCTION("""COMPUTED_VALUE"""),"浴室のにおいが気になった")</f>
        <v>浴室のにおいが気になった</v>
      </c>
      <c r="H96" s="217"/>
      <c r="I96" s="217"/>
      <c r="J96" s="217"/>
      <c r="K96" s="217"/>
      <c r="L96" s="217"/>
      <c r="M96" s="1245"/>
      <c r="O96" s="1189" t="s">
        <v>65</v>
      </c>
      <c r="P96" s="1189" t="s">
        <v>151</v>
      </c>
      <c r="Q96" s="1189" t="s">
        <v>28</v>
      </c>
      <c r="R96" s="1190"/>
      <c r="S96" s="1189" t="s">
        <v>111</v>
      </c>
      <c r="T96" s="1189" t="s">
        <v>111</v>
      </c>
      <c r="U96" s="1191" t="s">
        <v>1132</v>
      </c>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6"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4" t="str">
        <f>IFERROR(__xludf.DUMMYFUNCTION("""COMPUTED_VALUE"""),"ゲストの私物タオルの巻き込み(リネン袋から発見)")</f>
        <v>ゲストの私物タオルの巻き込み(リネン袋から発見)</v>
      </c>
      <c r="H97" s="217"/>
      <c r="I97" s="217"/>
      <c r="J97" s="217"/>
      <c r="K97" s="217"/>
      <c r="L97" s="217"/>
      <c r="M97" s="1245"/>
      <c r="O97" s="1189" t="s">
        <v>65</v>
      </c>
      <c r="P97" s="1189" t="s">
        <v>1085</v>
      </c>
      <c r="Q97" s="1189" t="s">
        <v>41</v>
      </c>
      <c r="R97" s="1190"/>
      <c r="S97" s="1189" t="s">
        <v>467</v>
      </c>
      <c r="T97" s="1189" t="s">
        <v>174</v>
      </c>
      <c r="U97" s="1191" t="s">
        <v>1133</v>
      </c>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6"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4" t="str">
        <f>IFERROR(__xludf.DUMMYFUNCTION("""COMPUTED_VALUE"""),"バスマット、フェイスタオルが入っていなかった")</f>
        <v>バスマット、フェイスタオルが入っていなかった</v>
      </c>
      <c r="H98" s="217"/>
      <c r="I98" s="217"/>
      <c r="J98" s="217"/>
      <c r="K98" s="217"/>
      <c r="L98" s="217"/>
      <c r="M98" s="1245"/>
      <c r="O98" s="1189" t="s">
        <v>65</v>
      </c>
      <c r="P98" s="1189" t="s">
        <v>1134</v>
      </c>
      <c r="Q98" s="1189" t="s">
        <v>30</v>
      </c>
      <c r="R98" s="1190"/>
      <c r="S98" s="1189" t="s">
        <v>1049</v>
      </c>
      <c r="T98" s="1189" t="s">
        <v>187</v>
      </c>
      <c r="U98" s="1191" t="s">
        <v>1135</v>
      </c>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6"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4" t="str">
        <f>IFERROR(__xludf.DUMMYFUNCTION("""COMPUTED_VALUE"""),"ゲスト清掃希望の部屋が清掃されていなかった")</f>
        <v>ゲスト清掃希望の部屋が清掃されていなかった</v>
      </c>
      <c r="H99" s="217"/>
      <c r="I99" s="217"/>
      <c r="J99" s="217"/>
      <c r="K99" s="217"/>
      <c r="L99" s="217"/>
      <c r="M99" s="1245"/>
      <c r="O99" s="1189" t="s">
        <v>65</v>
      </c>
      <c r="P99" s="1189" t="s">
        <v>1106</v>
      </c>
      <c r="Q99" s="1189" t="s">
        <v>30</v>
      </c>
      <c r="R99" s="1190"/>
      <c r="S99" s="1189" t="s">
        <v>466</v>
      </c>
      <c r="T99" s="1190"/>
      <c r="U99" s="1191" t="s">
        <v>1136</v>
      </c>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6"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5"/>
      <c r="O100" s="1189" t="s">
        <v>67</v>
      </c>
      <c r="P100" s="1189" t="s">
        <v>161</v>
      </c>
      <c r="Q100" s="1189" t="s">
        <v>30</v>
      </c>
      <c r="R100" s="1190"/>
      <c r="S100" s="1189" t="s">
        <v>466</v>
      </c>
      <c r="T100" s="1189" t="s">
        <v>508</v>
      </c>
      <c r="U100" s="1191" t="s">
        <v>1137</v>
      </c>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6"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4" t="str">
        <f>IFERROR(__xludf.DUMMYFUNCTION("""COMPUTED_VALUE"""),"浴室棚上にタオルがあった")</f>
        <v>浴室棚上にタオルがあった</v>
      </c>
      <c r="H101" s="217"/>
      <c r="I101" s="217"/>
      <c r="J101" s="217"/>
      <c r="K101" s="217"/>
      <c r="L101" s="217"/>
      <c r="M101" s="1245"/>
      <c r="O101" s="1189" t="s">
        <v>67</v>
      </c>
      <c r="P101" s="1189" t="s">
        <v>1073</v>
      </c>
      <c r="Q101" s="1189" t="s">
        <v>28</v>
      </c>
      <c r="R101" s="1190"/>
      <c r="S101" s="1189" t="s">
        <v>451</v>
      </c>
      <c r="T101" s="1189" t="s">
        <v>451</v>
      </c>
      <c r="U101" s="1191" t="s">
        <v>1138</v>
      </c>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6"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4" t="str">
        <f>IFERROR(__xludf.DUMMYFUNCTION("""COMPUTED_VALUE"""),"テレビの下にお菓子があった")</f>
        <v>テレビの下にお菓子があった</v>
      </c>
      <c r="H102" s="217"/>
      <c r="I102" s="217"/>
      <c r="J102" s="217"/>
      <c r="K102" s="217"/>
      <c r="L102" s="217"/>
      <c r="M102" s="1245"/>
      <c r="O102" s="1189" t="s">
        <v>67</v>
      </c>
      <c r="P102" s="1189" t="s">
        <v>1093</v>
      </c>
      <c r="Q102" s="1189" t="s">
        <v>41</v>
      </c>
      <c r="R102" s="1190"/>
      <c r="S102" s="1189" t="s">
        <v>451</v>
      </c>
      <c r="T102" s="1189" t="s">
        <v>496</v>
      </c>
      <c r="U102" s="1191" t="s">
        <v>1139</v>
      </c>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6" t="str">
        <f>IFERROR(__xludf.DUMMYFUNCTION("""COMPUTED_VALUE"""),"2月")</f>
        <v>2月</v>
      </c>
      <c r="C103" s="932" t="str">
        <f>IFERROR(__xludf.DUMMYFUNCTION("""COMPUTED_VALUE"""),"24日")</f>
        <v>24日</v>
      </c>
      <c r="D103" s="932" t="str">
        <f>IFERROR(__xludf.DUMMYFUNCTION("""COMPUTED_VALUE"""),"口コミ")</f>
        <v>口コミ</v>
      </c>
      <c r="E103" s="932"/>
      <c r="F103" s="932"/>
      <c r="G103" s="1244" t="str">
        <f>IFERROR(__xludf.DUMMYFUNCTION("""COMPUTED_VALUE"""),"洗面の水はけが遅い")</f>
        <v>洗面の水はけが遅い</v>
      </c>
      <c r="H103" s="217"/>
      <c r="I103" s="217"/>
      <c r="J103" s="217"/>
      <c r="K103" s="217"/>
      <c r="L103" s="217"/>
      <c r="M103" s="1245"/>
      <c r="O103" s="1189" t="s">
        <v>67</v>
      </c>
      <c r="P103" s="1189" t="s">
        <v>1099</v>
      </c>
      <c r="Q103" s="1189" t="s">
        <v>41</v>
      </c>
      <c r="R103" s="1190"/>
      <c r="S103" s="1189" t="s">
        <v>467</v>
      </c>
      <c r="T103" s="1189" t="s">
        <v>118</v>
      </c>
      <c r="U103" s="1191" t="s">
        <v>1140</v>
      </c>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6"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4" t="str">
        <f>IFERROR(__xludf.DUMMYFUNCTION("""COMPUTED_VALUE"""),"エアコンの通気口が開いていた(直近での作業履歴なし)")</f>
        <v>エアコンの通気口が開いていた(直近での作業履歴なし)</v>
      </c>
      <c r="H104" s="217"/>
      <c r="I104" s="217"/>
      <c r="J104" s="217"/>
      <c r="K104" s="217"/>
      <c r="L104" s="217"/>
      <c r="M104" s="1245"/>
      <c r="O104" s="1189" t="s">
        <v>67</v>
      </c>
      <c r="P104" s="1189" t="s">
        <v>1121</v>
      </c>
      <c r="Q104" s="1189" t="s">
        <v>28</v>
      </c>
      <c r="R104" s="1190"/>
      <c r="S104" s="1189" t="s">
        <v>451</v>
      </c>
      <c r="T104" s="1189" t="s">
        <v>451</v>
      </c>
      <c r="U104" s="1191" t="s">
        <v>1141</v>
      </c>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6"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4" t="str">
        <f>IFERROR(__xludf.DUMMYFUNCTION("""COMPUTED_VALUE"""),"宅配伝票に落書きがあった")</f>
        <v>宅配伝票に落書きがあった</v>
      </c>
      <c r="H105" s="217"/>
      <c r="I105" s="217"/>
      <c r="J105" s="217"/>
      <c r="K105" s="217"/>
      <c r="L105" s="217"/>
      <c r="M105" s="1245"/>
      <c r="O105" s="1189" t="s">
        <v>67</v>
      </c>
      <c r="P105" s="1189" t="s">
        <v>1121</v>
      </c>
      <c r="Q105" s="1189" t="s">
        <v>38</v>
      </c>
      <c r="R105" s="1190"/>
      <c r="S105" s="1189" t="s">
        <v>468</v>
      </c>
      <c r="T105" s="1189" t="s">
        <v>507</v>
      </c>
      <c r="U105" s="1191" t="s">
        <v>1142</v>
      </c>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6"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4" t="str">
        <f>IFERROR(__xludf.DUMMYFUNCTION("""COMPUTED_VALUE"""),"ケトル内に食品汚れ")</f>
        <v>ケトル内に食品汚れ</v>
      </c>
      <c r="H106" s="217"/>
      <c r="I106" s="217"/>
      <c r="J106" s="217"/>
      <c r="K106" s="217"/>
      <c r="L106" s="217"/>
      <c r="M106" s="1245"/>
      <c r="O106" s="1189" t="s">
        <v>67</v>
      </c>
      <c r="P106" s="1189" t="s">
        <v>1075</v>
      </c>
      <c r="Q106" s="1189" t="s">
        <v>39</v>
      </c>
      <c r="R106" s="1190"/>
      <c r="S106" s="1189" t="s">
        <v>666</v>
      </c>
      <c r="T106" s="1189" t="s">
        <v>504</v>
      </c>
      <c r="U106" s="1191" t="s">
        <v>1143</v>
      </c>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6"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4" t="str">
        <f>IFERROR(__xludf.DUMMYFUNCTION("""COMPUTED_VALUE"""),"ベッド下にヘアクリップ")</f>
        <v>ベッド下にヘアクリップ</v>
      </c>
      <c r="H107" s="217"/>
      <c r="I107" s="217"/>
      <c r="J107" s="217"/>
      <c r="K107" s="217"/>
      <c r="L107" s="217"/>
      <c r="M107" s="1245"/>
      <c r="O107" s="1189" t="s">
        <v>67</v>
      </c>
      <c r="P107" s="1189" t="s">
        <v>1144</v>
      </c>
      <c r="Q107" s="1189" t="s">
        <v>42</v>
      </c>
      <c r="R107" s="1190"/>
      <c r="S107" s="1189" t="s">
        <v>465</v>
      </c>
      <c r="T107" s="1189" t="s">
        <v>111</v>
      </c>
      <c r="U107" s="1191" t="s">
        <v>1145</v>
      </c>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6"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4" t="str">
        <f>IFERROR(__xludf.DUMMYFUNCTION("""COMPUTED_VALUE"""),"電子レンジ付近にガラス片")</f>
        <v>電子レンジ付近にガラス片</v>
      </c>
      <c r="H108" s="217"/>
      <c r="I108" s="217"/>
      <c r="J108" s="217"/>
      <c r="K108" s="217"/>
      <c r="L108" s="217"/>
      <c r="M108" s="1245"/>
      <c r="O108" s="1189" t="s">
        <v>67</v>
      </c>
      <c r="P108" s="1189" t="s">
        <v>1048</v>
      </c>
      <c r="Q108" s="1189" t="s">
        <v>28</v>
      </c>
      <c r="R108" s="1190"/>
      <c r="S108" s="1189" t="s">
        <v>111</v>
      </c>
      <c r="T108" s="1189" t="s">
        <v>111</v>
      </c>
      <c r="U108" s="1191" t="s">
        <v>1146</v>
      </c>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6" t="str">
        <f>IFERROR(__xludf.DUMMYFUNCTION("""COMPUTED_VALUE"""),"3月")</f>
        <v>3月</v>
      </c>
      <c r="C109" s="932" t="str">
        <f>IFERROR(__xludf.DUMMYFUNCTION("""COMPUTED_VALUE"""),"15日")</f>
        <v>15日</v>
      </c>
      <c r="D109" s="932" t="str">
        <f>IFERROR(__xludf.DUMMYFUNCTION("""COMPUTED_VALUE"""),"口コミ")</f>
        <v>口コミ</v>
      </c>
      <c r="E109" s="932"/>
      <c r="F109" s="932"/>
      <c r="G109" s="1244" t="str">
        <f>IFERROR(__xludf.DUMMYFUNCTION("""COMPUTED_VALUE"""),"ティッシュ詰められすぎで取りづらい")</f>
        <v>ティッシュ詰められすぎで取りづらい</v>
      </c>
      <c r="H109" s="217"/>
      <c r="I109" s="217"/>
      <c r="J109" s="217"/>
      <c r="K109" s="217"/>
      <c r="L109" s="217"/>
      <c r="M109" s="1245"/>
      <c r="O109" s="1189" t="s">
        <v>67</v>
      </c>
      <c r="P109" s="1189" t="s">
        <v>1047</v>
      </c>
      <c r="Q109" s="1189" t="s">
        <v>30</v>
      </c>
      <c r="R109" s="1190"/>
      <c r="S109" s="1189" t="s">
        <v>670</v>
      </c>
      <c r="T109" s="1189" t="s">
        <v>509</v>
      </c>
      <c r="U109" s="1191" t="s">
        <v>1147</v>
      </c>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6"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4" t="str">
        <f>IFERROR(__xludf.DUMMYFUNCTION("""COMPUTED_VALUE"""),"開封済みの歯ブラシがセットされていた")</f>
        <v>開封済みの歯ブラシがセットされていた</v>
      </c>
      <c r="H110" s="217"/>
      <c r="I110" s="217"/>
      <c r="J110" s="217"/>
      <c r="K110" s="217"/>
      <c r="L110" s="217"/>
      <c r="M110" s="1245"/>
      <c r="O110" s="1189" t="s">
        <v>67</v>
      </c>
      <c r="P110" s="1189" t="s">
        <v>198</v>
      </c>
      <c r="Q110" s="1189" t="s">
        <v>39</v>
      </c>
      <c r="R110" s="1190"/>
      <c r="S110" s="1189" t="s">
        <v>463</v>
      </c>
      <c r="T110" s="1189" t="s">
        <v>492</v>
      </c>
      <c r="U110" s="1191" t="s">
        <v>1148</v>
      </c>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6" t="str">
        <f>IFERROR(__xludf.DUMMYFUNCTION("""COMPUTED_VALUE"""),"3月")</f>
        <v>3月</v>
      </c>
      <c r="C111" s="932" t="str">
        <f>IFERROR(__xludf.DUMMYFUNCTION("""COMPUTED_VALUE"""),"22日")</f>
        <v>22日</v>
      </c>
      <c r="D111" s="932" t="str">
        <f>IFERROR(__xludf.DUMMYFUNCTION("""COMPUTED_VALUE"""),"口コミ")</f>
        <v>口コミ</v>
      </c>
      <c r="E111" s="932"/>
      <c r="F111" s="932"/>
      <c r="G111" s="1244" t="str">
        <f>IFERROR(__xludf.DUMMYFUNCTION("""COMPUTED_VALUE"""),"お湯の温度が表示と違った")</f>
        <v>お湯の温度が表示と違った</v>
      </c>
      <c r="H111" s="217"/>
      <c r="I111" s="217"/>
      <c r="J111" s="217"/>
      <c r="K111" s="217"/>
      <c r="L111" s="217"/>
      <c r="M111" s="1245"/>
      <c r="O111" s="1189" t="s">
        <v>67</v>
      </c>
      <c r="P111" s="1189" t="s">
        <v>1134</v>
      </c>
      <c r="Q111" s="1189" t="s">
        <v>28</v>
      </c>
      <c r="R111" s="1190"/>
      <c r="S111" s="1189" t="s">
        <v>111</v>
      </c>
      <c r="T111" s="1189" t="s">
        <v>111</v>
      </c>
      <c r="U111" s="1191" t="s">
        <v>1149</v>
      </c>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6"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4" t="str">
        <f>IFERROR(__xludf.DUMMYFUNCTION("""COMPUTED_VALUE"""),"メモ用紙に落書き")</f>
        <v>メモ用紙に落書き</v>
      </c>
      <c r="H112" s="217"/>
      <c r="I112" s="217"/>
      <c r="J112" s="217"/>
      <c r="K112" s="217"/>
      <c r="L112" s="217"/>
      <c r="M112" s="1245"/>
      <c r="O112" s="1189" t="s">
        <v>67</v>
      </c>
      <c r="P112" s="1189" t="s">
        <v>203</v>
      </c>
      <c r="Q112" s="1189" t="s">
        <v>28</v>
      </c>
      <c r="R112" s="1190"/>
      <c r="S112" s="1189" t="s">
        <v>111</v>
      </c>
      <c r="T112" s="1189" t="s">
        <v>111</v>
      </c>
      <c r="U112" s="1191" t="s">
        <v>1150</v>
      </c>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7" t="str">
        <f>IFERROR(__xludf.DUMMYFUNCTION("""COMPUTED_VALUE"""),"4月")</f>
        <v>4月</v>
      </c>
      <c r="C113" s="932" t="str">
        <f>IFERROR(__xludf.DUMMYFUNCTION("""COMPUTED_VALUE"""),"8日")</f>
        <v>8日</v>
      </c>
      <c r="D113" s="932" t="str">
        <f>IFERROR(__xludf.DUMMYFUNCTION("""COMPUTED_VALUE"""),"汚れ")</f>
        <v>汚れ</v>
      </c>
      <c r="E113" s="932" t="str">
        <f>IFERROR(__xludf.DUMMYFUNCTION("""COMPUTED_VALUE"""),"デビ")</f>
        <v>デビ</v>
      </c>
      <c r="F113" s="932" t="str">
        <f>IFERROR(__xludf.DUMMYFUNCTION("""COMPUTED_VALUE"""),"タパ")</f>
        <v>タパ</v>
      </c>
      <c r="G113" s="1244" t="str">
        <f>IFERROR(__xludf.DUMMYFUNCTION("""COMPUTED_VALUE"""),"トイレ内の汚れ")</f>
        <v>トイレ内の汚れ</v>
      </c>
      <c r="H113" s="217"/>
      <c r="I113" s="217"/>
      <c r="J113" s="217"/>
      <c r="K113" s="217"/>
      <c r="L113" s="217"/>
      <c r="M113" s="1245"/>
      <c r="O113" s="1189" t="s">
        <v>69</v>
      </c>
      <c r="P113" s="1189" t="s">
        <v>161</v>
      </c>
      <c r="Q113" s="1189" t="s">
        <v>43</v>
      </c>
      <c r="R113" s="1190"/>
      <c r="S113" s="1189" t="s">
        <v>147</v>
      </c>
      <c r="T113" s="1189" t="s">
        <v>499</v>
      </c>
      <c r="U113" s="1191" t="s">
        <v>1151</v>
      </c>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7"/>
      <c r="C114" s="932"/>
      <c r="D114" s="932"/>
      <c r="E114" s="932"/>
      <c r="F114" s="932"/>
      <c r="G114" s="1244"/>
      <c r="H114" s="217"/>
      <c r="I114" s="217"/>
      <c r="J114" s="217"/>
      <c r="K114" s="217"/>
      <c r="L114" s="217"/>
      <c r="M114" s="1245"/>
      <c r="O114" s="1189" t="s">
        <v>69</v>
      </c>
      <c r="P114" s="1189" t="s">
        <v>151</v>
      </c>
      <c r="Q114" s="1189" t="s">
        <v>28</v>
      </c>
      <c r="R114" s="1190"/>
      <c r="S114" s="1189" t="s">
        <v>111</v>
      </c>
      <c r="T114" s="1189" t="s">
        <v>111</v>
      </c>
      <c r="U114" s="1191" t="s">
        <v>1152</v>
      </c>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7"/>
      <c r="C115" s="932"/>
      <c r="D115" s="932"/>
      <c r="E115" s="932"/>
      <c r="F115" s="932"/>
      <c r="G115" s="1244"/>
      <c r="H115" s="217"/>
      <c r="I115" s="217"/>
      <c r="J115" s="217"/>
      <c r="K115" s="217"/>
      <c r="L115" s="217"/>
      <c r="M115" s="1245"/>
      <c r="O115" s="1189" t="s">
        <v>69</v>
      </c>
      <c r="P115" s="1189" t="s">
        <v>1036</v>
      </c>
      <c r="Q115" s="1189" t="s">
        <v>28</v>
      </c>
      <c r="R115" s="1190"/>
      <c r="S115" s="1189" t="s">
        <v>111</v>
      </c>
      <c r="T115" s="1189" t="s">
        <v>111</v>
      </c>
      <c r="U115" s="1191" t="s">
        <v>1153</v>
      </c>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7"/>
      <c r="C116" s="932"/>
      <c r="D116" s="932"/>
      <c r="E116" s="932"/>
      <c r="F116" s="932"/>
      <c r="G116" s="1244"/>
      <c r="H116" s="217"/>
      <c r="I116" s="217"/>
      <c r="J116" s="217"/>
      <c r="K116" s="217"/>
      <c r="L116" s="217"/>
      <c r="M116" s="1245"/>
      <c r="O116" s="1189" t="s">
        <v>69</v>
      </c>
      <c r="P116" s="1189" t="s">
        <v>1085</v>
      </c>
      <c r="Q116" s="1189" t="s">
        <v>41</v>
      </c>
      <c r="R116" s="1190"/>
      <c r="S116" s="1189" t="s">
        <v>111</v>
      </c>
      <c r="T116" s="1189" t="s">
        <v>488</v>
      </c>
      <c r="U116" s="1191" t="s">
        <v>1154</v>
      </c>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7"/>
      <c r="C117" s="932"/>
      <c r="D117" s="932"/>
      <c r="E117" s="932"/>
      <c r="F117" s="932"/>
      <c r="G117" s="1244"/>
      <c r="H117" s="217"/>
      <c r="I117" s="217"/>
      <c r="J117" s="217"/>
      <c r="K117" s="217"/>
      <c r="L117" s="217"/>
      <c r="M117" s="1245"/>
      <c r="O117" s="1189" t="s">
        <v>69</v>
      </c>
      <c r="P117" s="1189" t="s">
        <v>123</v>
      </c>
      <c r="Q117" s="1189" t="s">
        <v>41</v>
      </c>
      <c r="R117" s="1190"/>
      <c r="S117" s="1189" t="s">
        <v>111</v>
      </c>
      <c r="T117" s="1189" t="s">
        <v>506</v>
      </c>
      <c r="U117" s="1191" t="s">
        <v>1155</v>
      </c>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7"/>
      <c r="C118" s="932"/>
      <c r="D118" s="932"/>
      <c r="E118" s="932"/>
      <c r="F118" s="932"/>
      <c r="G118" s="1244"/>
      <c r="H118" s="217"/>
      <c r="I118" s="217"/>
      <c r="J118" s="217"/>
      <c r="K118" s="217"/>
      <c r="L118" s="217"/>
      <c r="M118" s="1245"/>
      <c r="O118" s="1189" t="s">
        <v>69</v>
      </c>
      <c r="P118" s="1189" t="s">
        <v>123</v>
      </c>
      <c r="Q118" s="1189" t="s">
        <v>41</v>
      </c>
      <c r="R118" s="1190"/>
      <c r="S118" s="1189" t="s">
        <v>111</v>
      </c>
      <c r="T118" s="1189" t="s">
        <v>118</v>
      </c>
      <c r="U118" s="1191" t="s">
        <v>1156</v>
      </c>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7"/>
      <c r="C119" s="932"/>
      <c r="D119" s="932"/>
      <c r="E119" s="932"/>
      <c r="F119" s="932"/>
      <c r="G119" s="1244"/>
      <c r="H119" s="217"/>
      <c r="I119" s="217"/>
      <c r="J119" s="217"/>
      <c r="K119" s="217"/>
      <c r="L119" s="217"/>
      <c r="M119" s="1245"/>
      <c r="O119" s="1189" t="s">
        <v>69</v>
      </c>
      <c r="P119" s="1189" t="s">
        <v>129</v>
      </c>
      <c r="Q119" s="1189" t="s">
        <v>28</v>
      </c>
      <c r="R119" s="1190"/>
      <c r="S119" s="1189" t="s">
        <v>111</v>
      </c>
      <c r="T119" s="1189" t="s">
        <v>111</v>
      </c>
      <c r="U119" s="1191" t="s">
        <v>1157</v>
      </c>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7"/>
      <c r="C120" s="932"/>
      <c r="D120" s="932"/>
      <c r="E120" s="932"/>
      <c r="F120" s="932"/>
      <c r="G120" s="1244"/>
      <c r="H120" s="217"/>
      <c r="I120" s="217"/>
      <c r="J120" s="217"/>
      <c r="K120" s="217"/>
      <c r="L120" s="217"/>
      <c r="M120" s="1245"/>
      <c r="O120" s="1189" t="s">
        <v>69</v>
      </c>
      <c r="P120" s="1189" t="s">
        <v>1144</v>
      </c>
      <c r="Q120" s="1189" t="s">
        <v>28</v>
      </c>
      <c r="R120" s="1190"/>
      <c r="S120" s="1189" t="s">
        <v>111</v>
      </c>
      <c r="T120" s="1189" t="s">
        <v>111</v>
      </c>
      <c r="U120" s="1191" t="s">
        <v>1157</v>
      </c>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7"/>
      <c r="C121" s="932"/>
      <c r="D121" s="932"/>
      <c r="E121" s="932"/>
      <c r="F121" s="932"/>
      <c r="G121" s="1244"/>
      <c r="H121" s="217"/>
      <c r="I121" s="217"/>
      <c r="J121" s="217"/>
      <c r="K121" s="217"/>
      <c r="L121" s="217"/>
      <c r="M121" s="1245"/>
      <c r="O121" s="1189" t="s">
        <v>69</v>
      </c>
      <c r="P121" s="1189" t="s">
        <v>1047</v>
      </c>
      <c r="Q121" s="1189" t="s">
        <v>28</v>
      </c>
      <c r="R121" s="1190"/>
      <c r="S121" s="1189" t="s">
        <v>111</v>
      </c>
      <c r="T121" s="1189" t="s">
        <v>111</v>
      </c>
      <c r="U121" s="1191" t="s">
        <v>1158</v>
      </c>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7"/>
      <c r="C122" s="932"/>
      <c r="D122" s="932"/>
      <c r="E122" s="932"/>
      <c r="F122" s="932"/>
      <c r="G122" s="1244"/>
      <c r="H122" s="217"/>
      <c r="I122" s="217"/>
      <c r="J122" s="217"/>
      <c r="K122" s="217"/>
      <c r="L122" s="217"/>
      <c r="M122" s="1245"/>
      <c r="O122" s="1189" t="s">
        <v>69</v>
      </c>
      <c r="P122" s="1189" t="s">
        <v>1047</v>
      </c>
      <c r="Q122" s="1189" t="s">
        <v>30</v>
      </c>
      <c r="R122" s="1190"/>
      <c r="S122" s="1189" t="s">
        <v>111</v>
      </c>
      <c r="T122" s="1189" t="s">
        <v>174</v>
      </c>
      <c r="U122" s="1191" t="s">
        <v>1159</v>
      </c>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7"/>
      <c r="C123" s="932"/>
      <c r="D123" s="932"/>
      <c r="E123" s="932"/>
      <c r="F123" s="932"/>
      <c r="G123" s="1244"/>
      <c r="H123" s="217"/>
      <c r="I123" s="217"/>
      <c r="J123" s="217"/>
      <c r="K123" s="217"/>
      <c r="L123" s="217"/>
      <c r="M123" s="1245"/>
      <c r="O123" s="1189" t="s">
        <v>69</v>
      </c>
      <c r="P123" s="1189" t="s">
        <v>144</v>
      </c>
      <c r="Q123" s="1189" t="s">
        <v>41</v>
      </c>
      <c r="R123" s="1190"/>
      <c r="S123" s="1189" t="s">
        <v>111</v>
      </c>
      <c r="T123" s="1189" t="s">
        <v>1083</v>
      </c>
      <c r="U123" s="1191" t="s">
        <v>1160</v>
      </c>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7"/>
      <c r="C124" s="932"/>
      <c r="D124" s="932"/>
      <c r="E124" s="932"/>
      <c r="F124" s="932"/>
      <c r="G124" s="1244"/>
      <c r="H124" s="217"/>
      <c r="I124" s="217"/>
      <c r="J124" s="217"/>
      <c r="K124" s="217"/>
      <c r="L124" s="217"/>
      <c r="M124" s="1245"/>
      <c r="O124" s="1189" t="s">
        <v>69</v>
      </c>
      <c r="P124" s="1189" t="s">
        <v>157</v>
      </c>
      <c r="Q124" s="1189" t="s">
        <v>41</v>
      </c>
      <c r="R124" s="1190"/>
      <c r="S124" s="1189" t="s">
        <v>111</v>
      </c>
      <c r="T124" s="1189" t="s">
        <v>111</v>
      </c>
      <c r="U124" s="1191" t="s">
        <v>1161</v>
      </c>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7"/>
      <c r="C125" s="932"/>
      <c r="D125" s="932"/>
      <c r="E125" s="932"/>
      <c r="F125" s="932"/>
      <c r="G125" s="1244"/>
      <c r="H125" s="217"/>
      <c r="I125" s="217"/>
      <c r="J125" s="217"/>
      <c r="K125" s="217"/>
      <c r="L125" s="217"/>
      <c r="M125" s="1245"/>
      <c r="O125" s="1189" t="s">
        <v>71</v>
      </c>
      <c r="P125" s="1189" t="s">
        <v>98</v>
      </c>
      <c r="Q125" s="1189" t="s">
        <v>43</v>
      </c>
      <c r="R125" s="1190"/>
      <c r="S125" s="1189" t="s">
        <v>674</v>
      </c>
      <c r="T125" s="1189" t="s">
        <v>502</v>
      </c>
      <c r="U125" s="1191" t="s">
        <v>1162</v>
      </c>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7"/>
      <c r="C126" s="932"/>
      <c r="D126" s="932"/>
      <c r="E126" s="932"/>
      <c r="F126" s="932"/>
      <c r="G126" s="1244"/>
      <c r="H126" s="217"/>
      <c r="I126" s="217"/>
      <c r="J126" s="217"/>
      <c r="K126" s="217"/>
      <c r="L126" s="217"/>
      <c r="M126" s="1245"/>
      <c r="O126" s="1189" t="s">
        <v>71</v>
      </c>
      <c r="P126" s="1189" t="s">
        <v>1041</v>
      </c>
      <c r="Q126" s="1189" t="s">
        <v>43</v>
      </c>
      <c r="R126" s="1190"/>
      <c r="S126" s="1189" t="s">
        <v>466</v>
      </c>
      <c r="T126" s="1189" t="s">
        <v>111</v>
      </c>
      <c r="U126" s="1191" t="s">
        <v>1163</v>
      </c>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7"/>
      <c r="C127" s="932"/>
      <c r="D127" s="932"/>
      <c r="E127" s="932"/>
      <c r="F127" s="932"/>
      <c r="G127" s="1244"/>
      <c r="H127" s="217"/>
      <c r="I127" s="217"/>
      <c r="J127" s="217"/>
      <c r="K127" s="217"/>
      <c r="L127" s="217"/>
      <c r="M127" s="1245"/>
      <c r="O127" s="1189" t="s">
        <v>71</v>
      </c>
      <c r="P127" s="1189" t="s">
        <v>1041</v>
      </c>
      <c r="Q127" s="1189" t="s">
        <v>38</v>
      </c>
      <c r="R127" s="1190"/>
      <c r="S127" s="1189" t="s">
        <v>463</v>
      </c>
      <c r="T127" s="1189" t="s">
        <v>672</v>
      </c>
      <c r="U127" s="1191" t="s">
        <v>1164</v>
      </c>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7"/>
      <c r="C128" s="932"/>
      <c r="D128" s="932"/>
      <c r="E128" s="932"/>
      <c r="F128" s="932"/>
      <c r="G128" s="1244"/>
      <c r="H128" s="217"/>
      <c r="I128" s="217"/>
      <c r="J128" s="217"/>
      <c r="K128" s="217"/>
      <c r="L128" s="217"/>
      <c r="M128" s="1245"/>
      <c r="O128" s="1189" t="s">
        <v>71</v>
      </c>
      <c r="P128" s="1189" t="s">
        <v>210</v>
      </c>
      <c r="Q128" s="1189" t="s">
        <v>28</v>
      </c>
      <c r="R128" s="1190"/>
      <c r="S128" s="1189" t="s">
        <v>102</v>
      </c>
      <c r="T128" s="1189" t="s">
        <v>102</v>
      </c>
      <c r="U128" s="1191" t="s">
        <v>1165</v>
      </c>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7"/>
      <c r="C129" s="932"/>
      <c r="D129" s="932"/>
      <c r="E129" s="932"/>
      <c r="F129" s="932"/>
      <c r="G129" s="1244"/>
      <c r="H129" s="217"/>
      <c r="I129" s="217"/>
      <c r="J129" s="217"/>
      <c r="K129" s="217"/>
      <c r="L129" s="217"/>
      <c r="M129" s="1245"/>
      <c r="O129" s="1189" t="s">
        <v>71</v>
      </c>
      <c r="P129" s="1189" t="s">
        <v>1099</v>
      </c>
      <c r="Q129" s="1189" t="s">
        <v>39</v>
      </c>
      <c r="R129" s="1190"/>
      <c r="S129" s="1189" t="s">
        <v>102</v>
      </c>
      <c r="T129" s="1189" t="s">
        <v>102</v>
      </c>
      <c r="U129" s="1191" t="s">
        <v>1166</v>
      </c>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7"/>
      <c r="C130" s="932"/>
      <c r="D130" s="932"/>
      <c r="E130" s="932"/>
      <c r="F130" s="932"/>
      <c r="G130" s="1244"/>
      <c r="H130" s="217"/>
      <c r="I130" s="217"/>
      <c r="J130" s="217"/>
      <c r="K130" s="217"/>
      <c r="L130" s="217"/>
      <c r="M130" s="1245"/>
      <c r="O130" s="1189" t="s">
        <v>71</v>
      </c>
      <c r="P130" s="1189" t="s">
        <v>1121</v>
      </c>
      <c r="Q130" s="1189" t="s">
        <v>41</v>
      </c>
      <c r="R130" s="1190"/>
      <c r="S130" s="1189" t="s">
        <v>131</v>
      </c>
      <c r="T130" s="1189" t="s">
        <v>1083</v>
      </c>
      <c r="U130" s="1191" t="s">
        <v>1167</v>
      </c>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7"/>
      <c r="C131" s="932"/>
      <c r="D131" s="932"/>
      <c r="E131" s="932"/>
      <c r="F131" s="932"/>
      <c r="G131" s="1244"/>
      <c r="H131" s="217"/>
      <c r="I131" s="217"/>
      <c r="J131" s="217"/>
      <c r="K131" s="217"/>
      <c r="L131" s="217"/>
      <c r="M131" s="1245"/>
      <c r="O131" s="1189" t="s">
        <v>71</v>
      </c>
      <c r="P131" s="1189" t="s">
        <v>123</v>
      </c>
      <c r="Q131" s="1189" t="s">
        <v>28</v>
      </c>
      <c r="R131" s="1190"/>
      <c r="S131" s="1189" t="s">
        <v>102</v>
      </c>
      <c r="T131" s="1189" t="s">
        <v>102</v>
      </c>
      <c r="U131" s="1191" t="s">
        <v>1168</v>
      </c>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7"/>
      <c r="C132" s="932"/>
      <c r="D132" s="932"/>
      <c r="E132" s="932"/>
      <c r="F132" s="932"/>
      <c r="G132" s="1244"/>
      <c r="H132" s="217"/>
      <c r="I132" s="217"/>
      <c r="J132" s="217"/>
      <c r="K132" s="217"/>
      <c r="L132" s="217"/>
      <c r="M132" s="1245"/>
      <c r="O132" s="1189" t="s">
        <v>71</v>
      </c>
      <c r="P132" s="1189" t="s">
        <v>193</v>
      </c>
      <c r="Q132" s="1189" t="s">
        <v>38</v>
      </c>
      <c r="R132" s="1190"/>
      <c r="S132" s="1189" t="s">
        <v>131</v>
      </c>
      <c r="T132" s="1189" t="s">
        <v>499</v>
      </c>
      <c r="U132" s="1191" t="s">
        <v>1169</v>
      </c>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7"/>
      <c r="C133" s="932"/>
      <c r="D133" s="932"/>
      <c r="E133" s="932"/>
      <c r="F133" s="932"/>
      <c r="G133" s="1244"/>
      <c r="H133" s="217"/>
      <c r="I133" s="217"/>
      <c r="J133" s="217"/>
      <c r="K133" s="217"/>
      <c r="L133" s="217"/>
      <c r="M133" s="1245"/>
      <c r="O133" s="1189" t="s">
        <v>71</v>
      </c>
      <c r="P133" s="1189" t="s">
        <v>1104</v>
      </c>
      <c r="Q133" s="1189" t="s">
        <v>41</v>
      </c>
      <c r="R133" s="1190"/>
      <c r="S133" s="1189" t="s">
        <v>465</v>
      </c>
      <c r="T133" s="1189" t="s">
        <v>211</v>
      </c>
      <c r="U133" s="1191" t="s">
        <v>1170</v>
      </c>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7"/>
      <c r="C134" s="932"/>
      <c r="D134" s="932"/>
      <c r="E134" s="932"/>
      <c r="F134" s="932"/>
      <c r="G134" s="1244"/>
      <c r="H134" s="217"/>
      <c r="I134" s="217"/>
      <c r="J134" s="217"/>
      <c r="K134" s="217"/>
      <c r="L134" s="217"/>
      <c r="M134" s="1245"/>
      <c r="O134" s="1189" t="s">
        <v>71</v>
      </c>
      <c r="P134" s="1189" t="s">
        <v>1104</v>
      </c>
      <c r="Q134" s="1189" t="s">
        <v>30</v>
      </c>
      <c r="R134" s="1190"/>
      <c r="S134" s="1189" t="s">
        <v>465</v>
      </c>
      <c r="T134" s="1189" t="s">
        <v>111</v>
      </c>
      <c r="U134" s="1191" t="s">
        <v>1171</v>
      </c>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7"/>
      <c r="C135" s="932"/>
      <c r="D135" s="932"/>
      <c r="E135" s="932"/>
      <c r="F135" s="932"/>
      <c r="G135" s="1244"/>
      <c r="H135" s="217"/>
      <c r="I135" s="217"/>
      <c r="J135" s="217"/>
      <c r="K135" s="217"/>
      <c r="L135" s="217"/>
      <c r="M135" s="1245"/>
      <c r="O135" s="1189" t="s">
        <v>71</v>
      </c>
      <c r="P135" s="1189" t="s">
        <v>1144</v>
      </c>
      <c r="Q135" s="1189" t="s">
        <v>28</v>
      </c>
      <c r="R135" s="1190"/>
      <c r="S135" s="1189" t="s">
        <v>102</v>
      </c>
      <c r="T135" s="1189" t="s">
        <v>102</v>
      </c>
      <c r="U135" s="1191" t="s">
        <v>1172</v>
      </c>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7"/>
      <c r="C136" s="932"/>
      <c r="D136" s="932"/>
      <c r="E136" s="932"/>
      <c r="F136" s="932"/>
      <c r="G136" s="1244"/>
      <c r="H136" s="217"/>
      <c r="I136" s="217"/>
      <c r="J136" s="217"/>
      <c r="K136" s="217"/>
      <c r="L136" s="217"/>
      <c r="M136" s="1245"/>
      <c r="O136" s="1189" t="s">
        <v>71</v>
      </c>
      <c r="P136" s="1189" t="s">
        <v>1048</v>
      </c>
      <c r="Q136" s="1189" t="s">
        <v>28</v>
      </c>
      <c r="R136" s="1190"/>
      <c r="S136" s="1189" t="s">
        <v>102</v>
      </c>
      <c r="T136" s="1189" t="s">
        <v>102</v>
      </c>
      <c r="U136" s="1191" t="s">
        <v>1173</v>
      </c>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7"/>
      <c r="C137" s="932"/>
      <c r="D137" s="932"/>
      <c r="E137" s="932"/>
      <c r="F137" s="932"/>
      <c r="G137" s="1244"/>
      <c r="H137" s="217"/>
      <c r="I137" s="217"/>
      <c r="J137" s="217"/>
      <c r="K137" s="217"/>
      <c r="L137" s="217"/>
      <c r="M137" s="1245"/>
      <c r="O137" s="1189" t="s">
        <v>71</v>
      </c>
      <c r="P137" s="1189" t="s">
        <v>198</v>
      </c>
      <c r="Q137" s="1189" t="s">
        <v>41</v>
      </c>
      <c r="R137" s="1190"/>
      <c r="S137" s="1189" t="s">
        <v>670</v>
      </c>
      <c r="T137" s="1189" t="s">
        <v>503</v>
      </c>
      <c r="U137" s="1191" t="s">
        <v>1174</v>
      </c>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7"/>
      <c r="C138" s="932"/>
      <c r="D138" s="932"/>
      <c r="E138" s="932"/>
      <c r="F138" s="932"/>
      <c r="G138" s="1244"/>
      <c r="H138" s="217"/>
      <c r="I138" s="217"/>
      <c r="J138" s="217"/>
      <c r="K138" s="217"/>
      <c r="L138" s="217"/>
      <c r="M138" s="1245"/>
      <c r="O138" s="1189" t="s">
        <v>71</v>
      </c>
      <c r="P138" s="1189" t="s">
        <v>157</v>
      </c>
      <c r="Q138" s="1189" t="s">
        <v>30</v>
      </c>
      <c r="R138" s="1190"/>
      <c r="S138" s="1189" t="s">
        <v>674</v>
      </c>
      <c r="T138" s="1189" t="s">
        <v>496</v>
      </c>
      <c r="U138" s="1191" t="s">
        <v>1175</v>
      </c>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7"/>
      <c r="C139" s="932"/>
      <c r="D139" s="932"/>
      <c r="E139" s="932"/>
      <c r="F139" s="932"/>
      <c r="G139" s="1244"/>
      <c r="H139" s="217"/>
      <c r="I139" s="217"/>
      <c r="J139" s="217"/>
      <c r="K139" s="217"/>
      <c r="L139" s="217"/>
      <c r="M139" s="1245"/>
      <c r="O139" s="1189" t="s">
        <v>73</v>
      </c>
      <c r="P139" s="1189" t="s">
        <v>161</v>
      </c>
      <c r="Q139" s="1189" t="s">
        <v>41</v>
      </c>
      <c r="R139" s="1190"/>
      <c r="S139" s="1189" t="s">
        <v>131</v>
      </c>
      <c r="T139" s="1189" t="s">
        <v>471</v>
      </c>
      <c r="U139" s="1191" t="s">
        <v>1176</v>
      </c>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7"/>
      <c r="C140" s="932"/>
      <c r="D140" s="932"/>
      <c r="E140" s="932"/>
      <c r="F140" s="932"/>
      <c r="G140" s="1244"/>
      <c r="H140" s="217"/>
      <c r="I140" s="217"/>
      <c r="J140" s="217"/>
      <c r="K140" s="217"/>
      <c r="L140" s="217"/>
      <c r="M140" s="1245"/>
      <c r="O140" s="1189" t="s">
        <v>73</v>
      </c>
      <c r="P140" s="1189" t="s">
        <v>1099</v>
      </c>
      <c r="Q140" s="1189" t="s">
        <v>41</v>
      </c>
      <c r="R140" s="1190"/>
      <c r="S140" s="1189" t="s">
        <v>467</v>
      </c>
      <c r="T140" s="1189" t="s">
        <v>506</v>
      </c>
      <c r="U140" s="1191" t="s">
        <v>1177</v>
      </c>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7"/>
      <c r="C141" s="932"/>
      <c r="D141" s="932"/>
      <c r="E141" s="932"/>
      <c r="F141" s="932"/>
      <c r="G141" s="1244"/>
      <c r="H141" s="217"/>
      <c r="I141" s="217"/>
      <c r="J141" s="217"/>
      <c r="K141" s="217"/>
      <c r="L141" s="217"/>
      <c r="M141" s="1245"/>
      <c r="O141" s="1189" t="s">
        <v>73</v>
      </c>
      <c r="P141" s="1189" t="s">
        <v>123</v>
      </c>
      <c r="Q141" s="1189" t="s">
        <v>41</v>
      </c>
      <c r="R141" s="1190"/>
      <c r="S141" s="1189" t="s">
        <v>139</v>
      </c>
      <c r="T141" s="1189" t="s">
        <v>653</v>
      </c>
      <c r="U141" s="1191" t="s">
        <v>1178</v>
      </c>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7"/>
      <c r="C142" s="932"/>
      <c r="D142" s="932"/>
      <c r="E142" s="932"/>
      <c r="F142" s="932"/>
      <c r="G142" s="1244"/>
      <c r="H142" s="217"/>
      <c r="I142" s="217"/>
      <c r="J142" s="217"/>
      <c r="K142" s="217"/>
      <c r="L142" s="217"/>
      <c r="M142" s="1245"/>
      <c r="O142" s="1189" t="s">
        <v>73</v>
      </c>
      <c r="P142" s="1189" t="s">
        <v>137</v>
      </c>
      <c r="Q142" s="1189" t="s">
        <v>39</v>
      </c>
      <c r="R142" s="1190"/>
      <c r="S142" s="1189" t="s">
        <v>147</v>
      </c>
      <c r="T142" s="1189" t="s">
        <v>640</v>
      </c>
      <c r="U142" s="1191" t="s">
        <v>1179</v>
      </c>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7"/>
      <c r="C143" s="932"/>
      <c r="D143" s="932"/>
      <c r="E143" s="932"/>
      <c r="F143" s="932"/>
      <c r="G143" s="1244"/>
      <c r="H143" s="217"/>
      <c r="I143" s="217"/>
      <c r="J143" s="217"/>
      <c r="K143" s="217"/>
      <c r="L143" s="217"/>
      <c r="M143" s="1245"/>
      <c r="O143" s="1189" t="s">
        <v>73</v>
      </c>
      <c r="P143" s="1189" t="s">
        <v>198</v>
      </c>
      <c r="Q143" s="1189" t="s">
        <v>39</v>
      </c>
      <c r="R143" s="1190"/>
      <c r="S143" s="1189" t="s">
        <v>117</v>
      </c>
      <c r="T143" s="1189" t="s">
        <v>111</v>
      </c>
      <c r="U143" s="1191" t="s">
        <v>1180</v>
      </c>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7"/>
      <c r="C144" s="932"/>
      <c r="D144" s="932"/>
      <c r="E144" s="932"/>
      <c r="F144" s="932"/>
      <c r="G144" s="1244"/>
      <c r="H144" s="217"/>
      <c r="I144" s="217"/>
      <c r="J144" s="217"/>
      <c r="K144" s="217"/>
      <c r="L144" s="217"/>
      <c r="M144" s="1245"/>
      <c r="O144" s="1189" t="s">
        <v>73</v>
      </c>
      <c r="P144" s="1189" t="s">
        <v>157</v>
      </c>
      <c r="Q144" s="1189" t="s">
        <v>40</v>
      </c>
      <c r="R144" s="1190"/>
      <c r="S144" s="1189" t="s">
        <v>654</v>
      </c>
      <c r="T144" s="1189" t="s">
        <v>111</v>
      </c>
      <c r="U144" s="1191" t="s">
        <v>1181</v>
      </c>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7"/>
      <c r="C145" s="932"/>
      <c r="D145" s="932"/>
      <c r="E145" s="932"/>
      <c r="F145" s="932"/>
      <c r="G145" s="1244"/>
      <c r="H145" s="217"/>
      <c r="I145" s="217"/>
      <c r="J145" s="217"/>
      <c r="K145" s="217"/>
      <c r="L145" s="217"/>
      <c r="M145" s="1245"/>
      <c r="O145" s="1189" t="s">
        <v>73</v>
      </c>
      <c r="P145" s="1189" t="s">
        <v>1051</v>
      </c>
      <c r="Q145" s="1189" t="s">
        <v>40</v>
      </c>
      <c r="R145" s="1190"/>
      <c r="S145" s="1189" t="s">
        <v>654</v>
      </c>
      <c r="T145" s="1189" t="s">
        <v>471</v>
      </c>
      <c r="U145" s="1191" t="s">
        <v>1182</v>
      </c>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7"/>
      <c r="C146" s="932"/>
      <c r="D146" s="932"/>
      <c r="E146" s="932"/>
      <c r="F146" s="932"/>
      <c r="G146" s="1244"/>
      <c r="H146" s="217"/>
      <c r="I146" s="217"/>
      <c r="J146" s="217"/>
      <c r="K146" s="217"/>
      <c r="L146" s="217"/>
      <c r="M146" s="1245"/>
      <c r="O146" s="1189" t="s">
        <v>73</v>
      </c>
      <c r="P146" s="1189" t="s">
        <v>1106</v>
      </c>
      <c r="Q146" s="1189" t="s">
        <v>39</v>
      </c>
      <c r="R146" s="1190"/>
      <c r="S146" s="1189" t="s">
        <v>674</v>
      </c>
      <c r="T146" s="1189" t="s">
        <v>111</v>
      </c>
      <c r="U146" s="1191" t="s">
        <v>1183</v>
      </c>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7"/>
      <c r="C147" s="932"/>
      <c r="D147" s="932"/>
      <c r="E147" s="932"/>
      <c r="F147" s="932"/>
      <c r="G147" s="1244"/>
      <c r="H147" s="217"/>
      <c r="I147" s="217"/>
      <c r="J147" s="217"/>
      <c r="K147" s="217"/>
      <c r="L147" s="217"/>
      <c r="M147" s="1245"/>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7"/>
      <c r="C148" s="932"/>
      <c r="D148" s="932"/>
      <c r="E148" s="932"/>
      <c r="F148" s="932"/>
      <c r="G148" s="1244"/>
      <c r="H148" s="217"/>
      <c r="I148" s="217"/>
      <c r="J148" s="217"/>
      <c r="K148" s="217"/>
      <c r="L148" s="217"/>
      <c r="M148" s="1245"/>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7"/>
      <c r="C149" s="932"/>
      <c r="D149" s="932"/>
      <c r="E149" s="932"/>
      <c r="F149" s="932"/>
      <c r="G149" s="1244"/>
      <c r="H149" s="217"/>
      <c r="I149" s="217"/>
      <c r="J149" s="217"/>
      <c r="K149" s="217"/>
      <c r="L149" s="217"/>
      <c r="M149" s="1245"/>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7"/>
      <c r="C150" s="932"/>
      <c r="D150" s="932"/>
      <c r="E150" s="932"/>
      <c r="F150" s="932"/>
      <c r="G150" s="1244"/>
      <c r="H150" s="217"/>
      <c r="I150" s="217"/>
      <c r="J150" s="217"/>
      <c r="K150" s="217"/>
      <c r="L150" s="217"/>
      <c r="M150" s="1245"/>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7"/>
      <c r="C151" s="932"/>
      <c r="D151" s="932"/>
      <c r="E151" s="932"/>
      <c r="F151" s="932"/>
      <c r="G151" s="1244"/>
      <c r="H151" s="217"/>
      <c r="I151" s="217"/>
      <c r="J151" s="217"/>
      <c r="K151" s="217"/>
      <c r="L151" s="217"/>
      <c r="M151" s="1245"/>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7"/>
      <c r="C152" s="932"/>
      <c r="D152" s="932"/>
      <c r="E152" s="932"/>
      <c r="F152" s="932"/>
      <c r="G152" s="1244"/>
      <c r="H152" s="217"/>
      <c r="I152" s="217"/>
      <c r="J152" s="217"/>
      <c r="K152" s="217"/>
      <c r="L152" s="217"/>
      <c r="M152" s="1245"/>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7"/>
      <c r="C153" s="932"/>
      <c r="D153" s="932"/>
      <c r="E153" s="932"/>
      <c r="F153" s="932"/>
      <c r="G153" s="1244"/>
      <c r="H153" s="217"/>
      <c r="I153" s="217"/>
      <c r="J153" s="217"/>
      <c r="K153" s="217"/>
      <c r="L153" s="217"/>
      <c r="M153" s="1245"/>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7"/>
      <c r="C154" s="932"/>
      <c r="D154" s="932"/>
      <c r="E154" s="932"/>
      <c r="F154" s="932"/>
      <c r="G154" s="1244"/>
      <c r="H154" s="217"/>
      <c r="I154" s="217"/>
      <c r="J154" s="217"/>
      <c r="K154" s="217"/>
      <c r="L154" s="217"/>
      <c r="M154" s="1245"/>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7"/>
      <c r="C155" s="932"/>
      <c r="D155" s="932"/>
      <c r="E155" s="932"/>
      <c r="F155" s="932"/>
      <c r="G155" s="1244"/>
      <c r="H155" s="217"/>
      <c r="I155" s="217"/>
      <c r="J155" s="217"/>
      <c r="K155" s="217"/>
      <c r="L155" s="217"/>
      <c r="M155" s="1245"/>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7"/>
      <c r="C156" s="932"/>
      <c r="D156" s="932"/>
      <c r="E156" s="932"/>
      <c r="F156" s="932"/>
      <c r="G156" s="1244"/>
      <c r="H156" s="217"/>
      <c r="I156" s="217"/>
      <c r="J156" s="217"/>
      <c r="K156" s="217"/>
      <c r="L156" s="217"/>
      <c r="M156" s="1245"/>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7"/>
      <c r="C157" s="932"/>
      <c r="D157" s="932"/>
      <c r="E157" s="932"/>
      <c r="F157" s="932"/>
      <c r="G157" s="1244"/>
      <c r="H157" s="217"/>
      <c r="I157" s="217"/>
      <c r="J157" s="217"/>
      <c r="K157" s="217"/>
      <c r="L157" s="217"/>
      <c r="M157" s="1245"/>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7"/>
      <c r="C158" s="932"/>
      <c r="D158" s="932"/>
      <c r="E158" s="932"/>
      <c r="F158" s="932"/>
      <c r="G158" s="1244"/>
      <c r="H158" s="217"/>
      <c r="I158" s="217"/>
      <c r="J158" s="217"/>
      <c r="K158" s="217"/>
      <c r="L158" s="217"/>
      <c r="M158" s="1245"/>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7"/>
      <c r="C159" s="932"/>
      <c r="D159" s="932"/>
      <c r="E159" s="932"/>
      <c r="F159" s="932"/>
      <c r="G159" s="1244"/>
      <c r="H159" s="217"/>
      <c r="I159" s="217"/>
      <c r="J159" s="217"/>
      <c r="K159" s="217"/>
      <c r="L159" s="217"/>
      <c r="M159" s="1245"/>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7"/>
      <c r="C160" s="932"/>
      <c r="D160" s="932"/>
      <c r="E160" s="932"/>
      <c r="F160" s="932"/>
      <c r="G160" s="1244"/>
      <c r="H160" s="217"/>
      <c r="I160" s="217"/>
      <c r="J160" s="217"/>
      <c r="K160" s="217"/>
      <c r="L160" s="217"/>
      <c r="M160" s="1245"/>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7"/>
      <c r="C161" s="932"/>
      <c r="D161" s="932"/>
      <c r="E161" s="932"/>
      <c r="F161" s="932"/>
      <c r="G161" s="1244"/>
      <c r="H161" s="217"/>
      <c r="I161" s="217"/>
      <c r="J161" s="217"/>
      <c r="K161" s="217"/>
      <c r="L161" s="217"/>
      <c r="M161" s="1245"/>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7"/>
      <c r="C162" s="932"/>
      <c r="D162" s="932"/>
      <c r="E162" s="932"/>
      <c r="F162" s="932"/>
      <c r="G162" s="1244"/>
      <c r="H162" s="217"/>
      <c r="I162" s="217"/>
      <c r="J162" s="217"/>
      <c r="K162" s="217"/>
      <c r="L162" s="217"/>
      <c r="M162" s="1245"/>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7"/>
      <c r="C163" s="932"/>
      <c r="D163" s="932"/>
      <c r="E163" s="932"/>
      <c r="F163" s="932"/>
      <c r="G163" s="1244"/>
      <c r="H163" s="217"/>
      <c r="I163" s="217"/>
      <c r="J163" s="217"/>
      <c r="K163" s="217"/>
      <c r="L163" s="217"/>
      <c r="M163" s="1245"/>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7"/>
      <c r="C164" s="932"/>
      <c r="D164" s="932"/>
      <c r="E164" s="932"/>
      <c r="F164" s="932"/>
      <c r="G164" s="1244"/>
      <c r="H164" s="217"/>
      <c r="I164" s="217"/>
      <c r="J164" s="217"/>
      <c r="K164" s="217"/>
      <c r="L164" s="217"/>
      <c r="M164" s="1245"/>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7"/>
      <c r="C165" s="932"/>
      <c r="D165" s="932"/>
      <c r="E165" s="932"/>
      <c r="F165" s="932"/>
      <c r="G165" s="1244"/>
      <c r="H165" s="217"/>
      <c r="I165" s="217"/>
      <c r="J165" s="217"/>
      <c r="K165" s="217"/>
      <c r="L165" s="217"/>
      <c r="M165" s="1245"/>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7"/>
      <c r="C166" s="932"/>
      <c r="D166" s="932"/>
      <c r="E166" s="932"/>
      <c r="F166" s="932"/>
      <c r="G166" s="1244"/>
      <c r="H166" s="217"/>
      <c r="I166" s="217"/>
      <c r="J166" s="217"/>
      <c r="K166" s="217"/>
      <c r="L166" s="217"/>
      <c r="M166" s="1245"/>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7"/>
      <c r="C167" s="932"/>
      <c r="D167" s="932"/>
      <c r="E167" s="932"/>
      <c r="F167" s="932"/>
      <c r="G167" s="1244"/>
      <c r="H167" s="217"/>
      <c r="I167" s="217"/>
      <c r="J167" s="217"/>
      <c r="K167" s="217"/>
      <c r="L167" s="217"/>
      <c r="M167" s="1245"/>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7"/>
      <c r="C168" s="932"/>
      <c r="D168" s="932"/>
      <c r="E168" s="932"/>
      <c r="F168" s="932"/>
      <c r="G168" s="1244"/>
      <c r="H168" s="217"/>
      <c r="I168" s="217"/>
      <c r="J168" s="217"/>
      <c r="K168" s="217"/>
      <c r="L168" s="217"/>
      <c r="M168" s="1245"/>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7"/>
      <c r="C169" s="932"/>
      <c r="D169" s="932"/>
      <c r="E169" s="932"/>
      <c r="F169" s="932"/>
      <c r="G169" s="1244"/>
      <c r="H169" s="217"/>
      <c r="I169" s="217"/>
      <c r="J169" s="217"/>
      <c r="K169" s="217"/>
      <c r="L169" s="217"/>
      <c r="M169" s="1245"/>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7"/>
      <c r="C170" s="932"/>
      <c r="D170" s="932"/>
      <c r="E170" s="932"/>
      <c r="F170" s="932"/>
      <c r="G170" s="1244"/>
      <c r="H170" s="217"/>
      <c r="I170" s="217"/>
      <c r="J170" s="217"/>
      <c r="K170" s="217"/>
      <c r="L170" s="217"/>
      <c r="M170" s="1245"/>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7"/>
      <c r="C171" s="932"/>
      <c r="D171" s="932"/>
      <c r="E171" s="932"/>
      <c r="F171" s="932"/>
      <c r="G171" s="1244"/>
      <c r="H171" s="217"/>
      <c r="I171" s="217"/>
      <c r="J171" s="217"/>
      <c r="K171" s="217"/>
      <c r="L171" s="217"/>
      <c r="M171" s="1245"/>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7"/>
      <c r="C172" s="932"/>
      <c r="D172" s="932"/>
      <c r="E172" s="932"/>
      <c r="F172" s="932"/>
      <c r="G172" s="1244"/>
      <c r="H172" s="217"/>
      <c r="I172" s="217"/>
      <c r="J172" s="217"/>
      <c r="K172" s="217"/>
      <c r="L172" s="217"/>
      <c r="M172" s="1245"/>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7"/>
      <c r="C173" s="932"/>
      <c r="D173" s="932"/>
      <c r="E173" s="932"/>
      <c r="F173" s="932"/>
      <c r="G173" s="1244"/>
      <c r="H173" s="217"/>
      <c r="I173" s="217"/>
      <c r="J173" s="217"/>
      <c r="K173" s="217"/>
      <c r="L173" s="217"/>
      <c r="M173" s="1245"/>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7"/>
      <c r="C174" s="932"/>
      <c r="D174" s="932"/>
      <c r="E174" s="932"/>
      <c r="F174" s="932"/>
      <c r="G174" s="1244"/>
      <c r="H174" s="217"/>
      <c r="I174" s="217"/>
      <c r="J174" s="217"/>
      <c r="K174" s="217"/>
      <c r="L174" s="217"/>
      <c r="M174" s="1245"/>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7"/>
      <c r="C175" s="932"/>
      <c r="D175" s="932"/>
      <c r="E175" s="932"/>
      <c r="F175" s="932"/>
      <c r="G175" s="1244"/>
      <c r="H175" s="217"/>
      <c r="I175" s="217"/>
      <c r="J175" s="217"/>
      <c r="K175" s="217"/>
      <c r="L175" s="217"/>
      <c r="M175" s="1245"/>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7"/>
      <c r="C176" s="932"/>
      <c r="D176" s="932"/>
      <c r="E176" s="932"/>
      <c r="F176" s="932"/>
      <c r="G176" s="1244"/>
      <c r="H176" s="217"/>
      <c r="I176" s="217"/>
      <c r="J176" s="217"/>
      <c r="K176" s="217"/>
      <c r="L176" s="217"/>
      <c r="M176" s="1245"/>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7"/>
      <c r="C177" s="932"/>
      <c r="D177" s="932"/>
      <c r="E177" s="932"/>
      <c r="F177" s="932"/>
      <c r="G177" s="1244"/>
      <c r="H177" s="217"/>
      <c r="I177" s="217"/>
      <c r="J177" s="217"/>
      <c r="K177" s="217"/>
      <c r="L177" s="217"/>
      <c r="M177" s="1245"/>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7"/>
      <c r="C178" s="932"/>
      <c r="D178" s="932"/>
      <c r="E178" s="932"/>
      <c r="F178" s="932"/>
      <c r="G178" s="1244"/>
      <c r="H178" s="217"/>
      <c r="I178" s="217"/>
      <c r="J178" s="217"/>
      <c r="K178" s="217"/>
      <c r="L178" s="217"/>
      <c r="M178" s="1245"/>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7"/>
      <c r="C179" s="932"/>
      <c r="D179" s="932"/>
      <c r="E179" s="932"/>
      <c r="F179" s="932"/>
      <c r="G179" s="1244"/>
      <c r="H179" s="217"/>
      <c r="I179" s="217"/>
      <c r="J179" s="217"/>
      <c r="K179" s="217"/>
      <c r="L179" s="217"/>
      <c r="M179" s="1245"/>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7"/>
      <c r="C180" s="932"/>
      <c r="D180" s="932"/>
      <c r="E180" s="932"/>
      <c r="F180" s="932"/>
      <c r="G180" s="1244"/>
      <c r="H180" s="217"/>
      <c r="I180" s="217"/>
      <c r="J180" s="217"/>
      <c r="K180" s="217"/>
      <c r="L180" s="217"/>
      <c r="M180" s="1245"/>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7"/>
      <c r="C181" s="932"/>
      <c r="D181" s="932"/>
      <c r="E181" s="932"/>
      <c r="F181" s="932"/>
      <c r="G181" s="1244"/>
      <c r="H181" s="217"/>
      <c r="I181" s="217"/>
      <c r="J181" s="217"/>
      <c r="K181" s="217"/>
      <c r="L181" s="217"/>
      <c r="M181" s="1245"/>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7"/>
      <c r="C182" s="932"/>
      <c r="D182" s="932"/>
      <c r="E182" s="932"/>
      <c r="F182" s="932"/>
      <c r="G182" s="1244"/>
      <c r="H182" s="217"/>
      <c r="I182" s="217"/>
      <c r="J182" s="217"/>
      <c r="K182" s="217"/>
      <c r="L182" s="217"/>
      <c r="M182" s="1245"/>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7"/>
      <c r="C183" s="932"/>
      <c r="D183" s="932"/>
      <c r="E183" s="932"/>
      <c r="F183" s="932"/>
      <c r="G183" s="1244"/>
      <c r="H183" s="217"/>
      <c r="I183" s="217"/>
      <c r="J183" s="217"/>
      <c r="K183" s="217"/>
      <c r="L183" s="217"/>
      <c r="M183" s="1245"/>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7"/>
      <c r="C184" s="932"/>
      <c r="D184" s="932"/>
      <c r="E184" s="932"/>
      <c r="F184" s="932"/>
      <c r="G184" s="1244"/>
      <c r="H184" s="217"/>
      <c r="I184" s="217"/>
      <c r="J184" s="217"/>
      <c r="K184" s="217"/>
      <c r="L184" s="217"/>
      <c r="M184" s="1245"/>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7"/>
      <c r="C185" s="932"/>
      <c r="D185" s="932"/>
      <c r="E185" s="932"/>
      <c r="F185" s="932"/>
      <c r="G185" s="1244"/>
      <c r="H185" s="217"/>
      <c r="I185" s="217"/>
      <c r="J185" s="217"/>
      <c r="K185" s="217"/>
      <c r="L185" s="217"/>
      <c r="M185" s="1245"/>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7"/>
      <c r="C186" s="932"/>
      <c r="D186" s="932"/>
      <c r="E186" s="932"/>
      <c r="F186" s="932"/>
      <c r="G186" s="1244"/>
      <c r="H186" s="217"/>
      <c r="I186" s="217"/>
      <c r="J186" s="217"/>
      <c r="K186" s="217"/>
      <c r="L186" s="217"/>
      <c r="M186" s="1245"/>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7"/>
      <c r="C187" s="932"/>
      <c r="D187" s="932"/>
      <c r="E187" s="932"/>
      <c r="F187" s="932"/>
      <c r="G187" s="1244"/>
      <c r="H187" s="217"/>
      <c r="I187" s="217"/>
      <c r="J187" s="217"/>
      <c r="K187" s="217"/>
      <c r="L187" s="217"/>
      <c r="M187" s="1245"/>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7"/>
      <c r="C188" s="932"/>
      <c r="D188" s="932"/>
      <c r="E188" s="932"/>
      <c r="F188" s="932"/>
      <c r="G188" s="1244"/>
      <c r="H188" s="217"/>
      <c r="I188" s="217"/>
      <c r="J188" s="217"/>
      <c r="K188" s="217"/>
      <c r="L188" s="217"/>
      <c r="M188" s="1245"/>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7"/>
      <c r="C189" s="932"/>
      <c r="D189" s="932"/>
      <c r="E189" s="932"/>
      <c r="F189" s="932"/>
      <c r="G189" s="1244"/>
      <c r="H189" s="217"/>
      <c r="I189" s="217"/>
      <c r="J189" s="217"/>
      <c r="K189" s="217"/>
      <c r="L189" s="217"/>
      <c r="M189" s="1245"/>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7"/>
      <c r="C190" s="932"/>
      <c r="D190" s="932"/>
      <c r="E190" s="932"/>
      <c r="F190" s="932"/>
      <c r="G190" s="1244"/>
      <c r="H190" s="217"/>
      <c r="I190" s="217"/>
      <c r="J190" s="217"/>
      <c r="K190" s="217"/>
      <c r="L190" s="217"/>
      <c r="M190" s="1245"/>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7"/>
      <c r="C191" s="932"/>
      <c r="D191" s="932"/>
      <c r="E191" s="932"/>
      <c r="F191" s="932"/>
      <c r="G191" s="1244"/>
      <c r="H191" s="217"/>
      <c r="I191" s="217"/>
      <c r="J191" s="217"/>
      <c r="K191" s="217"/>
      <c r="L191" s="217"/>
      <c r="M191" s="1245"/>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7"/>
      <c r="C192" s="932"/>
      <c r="D192" s="932"/>
      <c r="E192" s="932"/>
      <c r="F192" s="932"/>
      <c r="G192" s="1244"/>
      <c r="H192" s="217"/>
      <c r="I192" s="217"/>
      <c r="J192" s="217"/>
      <c r="K192" s="217"/>
      <c r="L192" s="217"/>
      <c r="M192" s="1245"/>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7"/>
      <c r="C193" s="932"/>
      <c r="D193" s="932"/>
      <c r="E193" s="932"/>
      <c r="F193" s="932"/>
      <c r="G193" s="1244"/>
      <c r="H193" s="217"/>
      <c r="I193" s="217"/>
      <c r="J193" s="217"/>
      <c r="K193" s="217"/>
      <c r="L193" s="217"/>
      <c r="M193" s="1245"/>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7"/>
      <c r="C194" s="932"/>
      <c r="D194" s="932"/>
      <c r="E194" s="932"/>
      <c r="F194" s="932"/>
      <c r="G194" s="1244"/>
      <c r="H194" s="217"/>
      <c r="I194" s="217"/>
      <c r="J194" s="217"/>
      <c r="K194" s="217"/>
      <c r="L194" s="217"/>
      <c r="M194" s="1245"/>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7"/>
      <c r="C195" s="932"/>
      <c r="D195" s="932"/>
      <c r="E195" s="932"/>
      <c r="F195" s="932"/>
      <c r="G195" s="1244"/>
      <c r="H195" s="217"/>
      <c r="I195" s="217"/>
      <c r="J195" s="217"/>
      <c r="K195" s="217"/>
      <c r="L195" s="217"/>
      <c r="M195" s="1245"/>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7"/>
      <c r="C196" s="932"/>
      <c r="D196" s="932"/>
      <c r="E196" s="932"/>
      <c r="F196" s="932"/>
      <c r="G196" s="1244"/>
      <c r="H196" s="217"/>
      <c r="I196" s="217"/>
      <c r="J196" s="217"/>
      <c r="K196" s="217"/>
      <c r="L196" s="217"/>
      <c r="M196" s="1245"/>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7"/>
      <c r="C197" s="932"/>
      <c r="D197" s="932"/>
      <c r="E197" s="932"/>
      <c r="F197" s="932"/>
      <c r="G197" s="1244"/>
      <c r="H197" s="217"/>
      <c r="I197" s="217"/>
      <c r="J197" s="217"/>
      <c r="K197" s="217"/>
      <c r="L197" s="217"/>
      <c r="M197" s="1245"/>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7"/>
      <c r="C198" s="932"/>
      <c r="D198" s="932"/>
      <c r="E198" s="932"/>
      <c r="F198" s="932"/>
      <c r="G198" s="1244"/>
      <c r="H198" s="217"/>
      <c r="I198" s="217"/>
      <c r="J198" s="217"/>
      <c r="K198" s="217"/>
      <c r="L198" s="217"/>
      <c r="M198" s="1245"/>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7"/>
      <c r="C199" s="932"/>
      <c r="D199" s="932"/>
      <c r="E199" s="932"/>
      <c r="F199" s="932"/>
      <c r="G199" s="1244"/>
      <c r="H199" s="217"/>
      <c r="I199" s="217"/>
      <c r="J199" s="217"/>
      <c r="K199" s="217"/>
      <c r="L199" s="217"/>
      <c r="M199" s="1245"/>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7"/>
      <c r="C200" s="932"/>
      <c r="D200" s="932"/>
      <c r="E200" s="932"/>
      <c r="F200" s="932"/>
      <c r="G200" s="1244"/>
      <c r="H200" s="217"/>
      <c r="I200" s="217"/>
      <c r="J200" s="217"/>
      <c r="K200" s="217"/>
      <c r="L200" s="217"/>
      <c r="M200" s="1245"/>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7"/>
      <c r="C201" s="932"/>
      <c r="D201" s="932"/>
      <c r="E201" s="932"/>
      <c r="F201" s="932"/>
      <c r="G201" s="1244"/>
      <c r="H201" s="217"/>
      <c r="I201" s="217"/>
      <c r="J201" s="217"/>
      <c r="K201" s="217"/>
      <c r="L201" s="217"/>
      <c r="M201" s="1245"/>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7"/>
      <c r="C202" s="932"/>
      <c r="D202" s="932"/>
      <c r="E202" s="932"/>
      <c r="F202" s="932"/>
      <c r="G202" s="1244"/>
      <c r="H202" s="217"/>
      <c r="I202" s="217"/>
      <c r="J202" s="217"/>
      <c r="K202" s="217"/>
      <c r="L202" s="217"/>
      <c r="M202" s="1245"/>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7"/>
      <c r="C203" s="932"/>
      <c r="D203" s="932"/>
      <c r="E203" s="932"/>
      <c r="F203" s="932"/>
      <c r="G203" s="1244"/>
      <c r="H203" s="217"/>
      <c r="I203" s="217"/>
      <c r="J203" s="217"/>
      <c r="K203" s="217"/>
      <c r="L203" s="217"/>
      <c r="M203" s="1245"/>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7"/>
      <c r="C204" s="932"/>
      <c r="D204" s="932"/>
      <c r="E204" s="932"/>
      <c r="F204" s="932"/>
      <c r="G204" s="1244"/>
      <c r="H204" s="217"/>
      <c r="I204" s="217"/>
      <c r="J204" s="217"/>
      <c r="K204" s="217"/>
      <c r="L204" s="217"/>
      <c r="M204" s="1245"/>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7"/>
      <c r="C205" s="932"/>
      <c r="D205" s="932"/>
      <c r="E205" s="932"/>
      <c r="F205" s="932"/>
      <c r="G205" s="1244"/>
      <c r="H205" s="217"/>
      <c r="I205" s="217"/>
      <c r="J205" s="217"/>
      <c r="K205" s="217"/>
      <c r="L205" s="217"/>
      <c r="M205" s="1245"/>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7"/>
      <c r="C206" s="932"/>
      <c r="D206" s="1248"/>
      <c r="E206" s="932"/>
      <c r="F206" s="932"/>
      <c r="G206" s="1244"/>
      <c r="H206" s="217"/>
      <c r="I206" s="217"/>
      <c r="J206" s="217"/>
      <c r="K206" s="217"/>
      <c r="L206" s="217"/>
      <c r="M206" s="1245"/>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7"/>
      <c r="C207" s="932"/>
      <c r="D207" s="932"/>
      <c r="E207" s="932"/>
      <c r="F207" s="932"/>
      <c r="G207" s="1244"/>
      <c r="H207" s="217"/>
      <c r="I207" s="217"/>
      <c r="J207" s="217"/>
      <c r="K207" s="217"/>
      <c r="L207" s="217"/>
      <c r="M207" s="1245"/>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7"/>
      <c r="C208" s="932"/>
      <c r="D208" s="932"/>
      <c r="E208" s="932"/>
      <c r="F208" s="932"/>
      <c r="G208" s="1244"/>
      <c r="H208" s="217"/>
      <c r="I208" s="217"/>
      <c r="J208" s="217"/>
      <c r="K208" s="217"/>
      <c r="L208" s="217"/>
      <c r="M208" s="1245"/>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7"/>
      <c r="C209" s="932"/>
      <c r="D209" s="932"/>
      <c r="E209" s="932"/>
      <c r="F209" s="932"/>
      <c r="G209" s="1244"/>
      <c r="H209" s="217"/>
      <c r="I209" s="217"/>
      <c r="J209" s="217"/>
      <c r="K209" s="217"/>
      <c r="L209" s="217"/>
      <c r="M209" s="1245"/>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7"/>
      <c r="C210" s="932"/>
      <c r="D210" s="932"/>
      <c r="E210" s="932"/>
      <c r="F210" s="932"/>
      <c r="G210" s="1244"/>
      <c r="H210" s="217"/>
      <c r="I210" s="217"/>
      <c r="J210" s="217"/>
      <c r="K210" s="217"/>
      <c r="L210" s="217"/>
      <c r="M210" s="1245"/>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7"/>
      <c r="C211" s="932"/>
      <c r="D211" s="932"/>
      <c r="E211" s="932"/>
      <c r="F211" s="932"/>
      <c r="G211" s="1244"/>
      <c r="H211" s="217"/>
      <c r="I211" s="217"/>
      <c r="J211" s="217"/>
      <c r="K211" s="217"/>
      <c r="L211" s="217"/>
      <c r="M211" s="1245"/>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7"/>
      <c r="C212" s="932"/>
      <c r="D212" s="932"/>
      <c r="E212" s="932"/>
      <c r="F212" s="932"/>
      <c r="G212" s="1244"/>
      <c r="H212" s="217"/>
      <c r="I212" s="217"/>
      <c r="J212" s="217"/>
      <c r="K212" s="217"/>
      <c r="L212" s="217"/>
      <c r="M212" s="1245"/>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7"/>
      <c r="C213" s="932"/>
      <c r="D213" s="932"/>
      <c r="E213" s="932"/>
      <c r="F213" s="932"/>
      <c r="G213" s="1244"/>
      <c r="H213" s="217"/>
      <c r="I213" s="217"/>
      <c r="J213" s="217"/>
      <c r="K213" s="217"/>
      <c r="L213" s="217"/>
      <c r="M213" s="1245"/>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7"/>
      <c r="C214" s="932"/>
      <c r="D214" s="932"/>
      <c r="E214" s="932"/>
      <c r="F214" s="932"/>
      <c r="G214" s="1244"/>
      <c r="H214" s="217"/>
      <c r="I214" s="217"/>
      <c r="J214" s="217"/>
      <c r="K214" s="217"/>
      <c r="L214" s="217"/>
      <c r="M214" s="1245"/>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7"/>
      <c r="C215" s="932"/>
      <c r="D215" s="932"/>
      <c r="E215" s="932"/>
      <c r="F215" s="932"/>
      <c r="G215" s="1244"/>
      <c r="H215" s="217"/>
      <c r="I215" s="217"/>
      <c r="J215" s="217"/>
      <c r="K215" s="217"/>
      <c r="L215" s="217"/>
      <c r="M215" s="1245"/>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7"/>
      <c r="C216" s="932"/>
      <c r="D216" s="932"/>
      <c r="E216" s="932"/>
      <c r="F216" s="932"/>
      <c r="G216" s="1244"/>
      <c r="H216" s="217"/>
      <c r="I216" s="217"/>
      <c r="J216" s="217"/>
      <c r="K216" s="217"/>
      <c r="L216" s="217"/>
      <c r="M216" s="1245"/>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7"/>
      <c r="C217" s="932"/>
      <c r="D217" s="932"/>
      <c r="E217" s="932"/>
      <c r="F217" s="932"/>
      <c r="G217" s="1244"/>
      <c r="H217" s="217"/>
      <c r="I217" s="217"/>
      <c r="J217" s="217"/>
      <c r="K217" s="217"/>
      <c r="L217" s="217"/>
      <c r="M217" s="1245"/>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7"/>
      <c r="C218" s="932"/>
      <c r="D218" s="932"/>
      <c r="E218" s="932"/>
      <c r="F218" s="932"/>
      <c r="G218" s="1244"/>
      <c r="H218" s="217"/>
      <c r="I218" s="217"/>
      <c r="J218" s="217"/>
      <c r="K218" s="217"/>
      <c r="L218" s="217"/>
      <c r="M218" s="1245"/>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7"/>
      <c r="C219" s="932"/>
      <c r="D219" s="932"/>
      <c r="E219" s="932"/>
      <c r="F219" s="932"/>
      <c r="G219" s="1244"/>
      <c r="H219" s="217"/>
      <c r="I219" s="217"/>
      <c r="J219" s="217"/>
      <c r="K219" s="217"/>
      <c r="L219" s="217"/>
      <c r="M219" s="1245"/>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7"/>
      <c r="C220" s="932"/>
      <c r="D220" s="932"/>
      <c r="E220" s="932"/>
      <c r="F220" s="932"/>
      <c r="G220" s="1244"/>
      <c r="H220" s="217"/>
      <c r="I220" s="217"/>
      <c r="J220" s="217"/>
      <c r="K220" s="217"/>
      <c r="L220" s="217"/>
      <c r="M220" s="1245"/>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7"/>
      <c r="C221" s="932"/>
      <c r="D221" s="932"/>
      <c r="E221" s="932"/>
      <c r="F221" s="932"/>
      <c r="G221" s="1244"/>
      <c r="H221" s="217"/>
      <c r="I221" s="217"/>
      <c r="J221" s="217"/>
      <c r="K221" s="217"/>
      <c r="L221" s="217"/>
      <c r="M221" s="1245"/>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7"/>
      <c r="C222" s="932"/>
      <c r="D222" s="932"/>
      <c r="E222" s="932"/>
      <c r="F222" s="932"/>
      <c r="G222" s="1244"/>
      <c r="H222" s="217"/>
      <c r="I222" s="217"/>
      <c r="J222" s="217"/>
      <c r="K222" s="217"/>
      <c r="L222" s="217"/>
      <c r="M222" s="1245"/>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7"/>
      <c r="C223" s="932"/>
      <c r="D223" s="932"/>
      <c r="E223" s="932"/>
      <c r="F223" s="932"/>
      <c r="G223" s="1244"/>
      <c r="H223" s="217"/>
      <c r="I223" s="217"/>
      <c r="J223" s="217"/>
      <c r="K223" s="217"/>
      <c r="L223" s="217"/>
      <c r="M223" s="1245"/>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7"/>
      <c r="C224" s="932"/>
      <c r="D224" s="932"/>
      <c r="E224" s="932"/>
      <c r="F224" s="932"/>
      <c r="G224" s="1244"/>
      <c r="H224" s="217"/>
      <c r="I224" s="217"/>
      <c r="J224" s="217"/>
      <c r="K224" s="217"/>
      <c r="L224" s="217"/>
      <c r="M224" s="1245"/>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7"/>
      <c r="C225" s="932"/>
      <c r="D225" s="932"/>
      <c r="E225" s="932"/>
      <c r="F225" s="932"/>
      <c r="G225" s="1244"/>
      <c r="H225" s="217"/>
      <c r="I225" s="217"/>
      <c r="J225" s="217"/>
      <c r="K225" s="217"/>
      <c r="L225" s="217"/>
      <c r="M225" s="1245"/>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7"/>
      <c r="C226" s="932"/>
      <c r="D226" s="932"/>
      <c r="E226" s="932"/>
      <c r="F226" s="932"/>
      <c r="G226" s="1244"/>
      <c r="H226" s="217"/>
      <c r="I226" s="217"/>
      <c r="J226" s="217"/>
      <c r="K226" s="217"/>
      <c r="L226" s="217"/>
      <c r="M226" s="1245"/>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7"/>
      <c r="C227" s="932"/>
      <c r="D227" s="932"/>
      <c r="E227" s="932"/>
      <c r="F227" s="932"/>
      <c r="G227" s="1244"/>
      <c r="H227" s="217"/>
      <c r="I227" s="217"/>
      <c r="J227" s="217"/>
      <c r="K227" s="217"/>
      <c r="L227" s="217"/>
      <c r="M227" s="1245"/>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7"/>
      <c r="C228" s="932"/>
      <c r="D228" s="932"/>
      <c r="E228" s="932"/>
      <c r="F228" s="932"/>
      <c r="G228" s="1244"/>
      <c r="H228" s="217"/>
      <c r="I228" s="217"/>
      <c r="J228" s="217"/>
      <c r="K228" s="217"/>
      <c r="L228" s="217"/>
      <c r="M228" s="1245"/>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7"/>
      <c r="C229" s="932"/>
      <c r="D229" s="932"/>
      <c r="E229" s="932"/>
      <c r="F229" s="932"/>
      <c r="G229" s="1244"/>
      <c r="H229" s="217"/>
      <c r="I229" s="217"/>
      <c r="J229" s="217"/>
      <c r="K229" s="217"/>
      <c r="L229" s="217"/>
      <c r="M229" s="1245"/>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7"/>
      <c r="C230" s="932"/>
      <c r="D230" s="932"/>
      <c r="E230" s="932"/>
      <c r="F230" s="932"/>
      <c r="G230" s="1244"/>
      <c r="H230" s="217"/>
      <c r="I230" s="217"/>
      <c r="J230" s="217"/>
      <c r="K230" s="217"/>
      <c r="L230" s="217"/>
      <c r="M230" s="1245"/>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7"/>
      <c r="C231" s="932"/>
      <c r="D231" s="932"/>
      <c r="E231" s="932"/>
      <c r="F231" s="932"/>
      <c r="G231" s="1244"/>
      <c r="H231" s="217"/>
      <c r="I231" s="217"/>
      <c r="J231" s="217"/>
      <c r="K231" s="217"/>
      <c r="L231" s="217"/>
      <c r="M231" s="1245"/>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7"/>
      <c r="C232" s="932"/>
      <c r="D232" s="932"/>
      <c r="E232" s="932"/>
      <c r="F232" s="932"/>
      <c r="G232" s="1244"/>
      <c r="H232" s="217"/>
      <c r="I232" s="217"/>
      <c r="J232" s="217"/>
      <c r="K232" s="217"/>
      <c r="L232" s="217"/>
      <c r="M232" s="1245"/>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7"/>
      <c r="C233" s="932"/>
      <c r="D233" s="932"/>
      <c r="E233" s="932"/>
      <c r="F233" s="932"/>
      <c r="G233" s="1244"/>
      <c r="H233" s="217"/>
      <c r="I233" s="217"/>
      <c r="J233" s="217"/>
      <c r="K233" s="217"/>
      <c r="L233" s="217"/>
      <c r="M233" s="1245"/>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7"/>
      <c r="C234" s="932"/>
      <c r="D234" s="932"/>
      <c r="E234" s="932"/>
      <c r="F234" s="932"/>
      <c r="G234" s="1244"/>
      <c r="H234" s="217"/>
      <c r="I234" s="217"/>
      <c r="J234" s="217"/>
      <c r="K234" s="217"/>
      <c r="L234" s="217"/>
      <c r="M234" s="1245"/>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7"/>
      <c r="C235" s="932"/>
      <c r="D235" s="932"/>
      <c r="E235" s="932"/>
      <c r="F235" s="932"/>
      <c r="G235" s="1244"/>
      <c r="H235" s="217"/>
      <c r="I235" s="217"/>
      <c r="J235" s="217"/>
      <c r="K235" s="217"/>
      <c r="L235" s="217"/>
      <c r="M235" s="1245"/>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7"/>
      <c r="C236" s="932"/>
      <c r="D236" s="932"/>
      <c r="E236" s="932"/>
      <c r="F236" s="932"/>
      <c r="G236" s="1244"/>
      <c r="H236" s="217"/>
      <c r="I236" s="217"/>
      <c r="J236" s="217"/>
      <c r="K236" s="217"/>
      <c r="L236" s="217"/>
      <c r="M236" s="1245"/>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7"/>
      <c r="C237" s="932"/>
      <c r="D237" s="932"/>
      <c r="E237" s="932"/>
      <c r="F237" s="932"/>
      <c r="G237" s="1244"/>
      <c r="H237" s="217"/>
      <c r="I237" s="217"/>
      <c r="J237" s="217"/>
      <c r="K237" s="217"/>
      <c r="L237" s="217"/>
      <c r="M237" s="1245"/>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7"/>
      <c r="C238" s="932"/>
      <c r="D238" s="932"/>
      <c r="E238" s="932"/>
      <c r="F238" s="932"/>
      <c r="G238" s="1244"/>
      <c r="H238" s="217"/>
      <c r="I238" s="217"/>
      <c r="J238" s="217"/>
      <c r="K238" s="217"/>
      <c r="L238" s="217"/>
      <c r="M238" s="1245"/>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7"/>
      <c r="C239" s="932"/>
      <c r="D239" s="932"/>
      <c r="E239" s="932"/>
      <c r="F239" s="932"/>
      <c r="G239" s="1244"/>
      <c r="H239" s="217"/>
      <c r="I239" s="217"/>
      <c r="J239" s="217"/>
      <c r="K239" s="217"/>
      <c r="L239" s="217"/>
      <c r="M239" s="1245"/>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7"/>
      <c r="C240" s="932"/>
      <c r="D240" s="932"/>
      <c r="E240" s="932"/>
      <c r="F240" s="932"/>
      <c r="G240" s="1244"/>
      <c r="H240" s="217"/>
      <c r="I240" s="217"/>
      <c r="J240" s="217"/>
      <c r="K240" s="217"/>
      <c r="L240" s="217"/>
      <c r="M240" s="1245"/>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7"/>
      <c r="C241" s="932"/>
      <c r="D241" s="932"/>
      <c r="E241" s="932"/>
      <c r="F241" s="932"/>
      <c r="G241" s="1244"/>
      <c r="H241" s="217"/>
      <c r="I241" s="217"/>
      <c r="J241" s="217"/>
      <c r="K241" s="217"/>
      <c r="L241" s="217"/>
      <c r="M241" s="1245"/>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7"/>
      <c r="C242" s="932"/>
      <c r="D242" s="932"/>
      <c r="E242" s="932"/>
      <c r="F242" s="932"/>
      <c r="G242" s="1244"/>
      <c r="H242" s="217"/>
      <c r="I242" s="217"/>
      <c r="J242" s="217"/>
      <c r="K242" s="217"/>
      <c r="L242" s="217"/>
      <c r="M242" s="1245"/>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7"/>
      <c r="C243" s="932"/>
      <c r="D243" s="932"/>
      <c r="E243" s="932"/>
      <c r="F243" s="932"/>
      <c r="G243" s="1244"/>
      <c r="H243" s="217"/>
      <c r="I243" s="217"/>
      <c r="J243" s="217"/>
      <c r="K243" s="217"/>
      <c r="L243" s="217"/>
      <c r="M243" s="1245"/>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7"/>
      <c r="C244" s="932"/>
      <c r="D244" s="932"/>
      <c r="E244" s="932"/>
      <c r="F244" s="932"/>
      <c r="G244" s="1244"/>
      <c r="H244" s="217"/>
      <c r="I244" s="217"/>
      <c r="J244" s="217"/>
      <c r="K244" s="217"/>
      <c r="L244" s="217"/>
      <c r="M244" s="1245"/>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7"/>
      <c r="C245" s="932"/>
      <c r="D245" s="932"/>
      <c r="E245" s="932"/>
      <c r="F245" s="932"/>
      <c r="G245" s="1244"/>
      <c r="H245" s="217"/>
      <c r="I245" s="217"/>
      <c r="J245" s="217"/>
      <c r="K245" s="217"/>
      <c r="L245" s="217"/>
      <c r="M245" s="1245"/>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7"/>
      <c r="C246" s="932"/>
      <c r="D246" s="932"/>
      <c r="E246" s="932"/>
      <c r="F246" s="932"/>
      <c r="G246" s="1244"/>
      <c r="H246" s="217"/>
      <c r="I246" s="217"/>
      <c r="J246" s="217"/>
      <c r="K246" s="217"/>
      <c r="L246" s="217"/>
      <c r="M246" s="1245"/>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7"/>
      <c r="C247" s="932"/>
      <c r="D247" s="932"/>
      <c r="E247" s="932"/>
      <c r="F247" s="932"/>
      <c r="G247" s="1244"/>
      <c r="H247" s="217"/>
      <c r="I247" s="217"/>
      <c r="J247" s="217"/>
      <c r="K247" s="217"/>
      <c r="L247" s="217"/>
      <c r="M247" s="1245"/>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7"/>
      <c r="C248" s="932"/>
      <c r="D248" s="932"/>
      <c r="E248" s="932"/>
      <c r="F248" s="932"/>
      <c r="G248" s="1244"/>
      <c r="H248" s="217"/>
      <c r="I248" s="217"/>
      <c r="J248" s="217"/>
      <c r="K248" s="217"/>
      <c r="L248" s="217"/>
      <c r="M248" s="1245"/>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7"/>
      <c r="C249" s="932"/>
      <c r="D249" s="932"/>
      <c r="E249" s="932"/>
      <c r="F249" s="932"/>
      <c r="G249" s="1244"/>
      <c r="H249" s="217"/>
      <c r="I249" s="217"/>
      <c r="J249" s="217"/>
      <c r="K249" s="217"/>
      <c r="L249" s="217"/>
      <c r="M249" s="1245"/>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7"/>
      <c r="C250" s="932"/>
      <c r="D250" s="932"/>
      <c r="E250" s="932"/>
      <c r="F250" s="932"/>
      <c r="G250" s="1244"/>
      <c r="H250" s="217"/>
      <c r="I250" s="217"/>
      <c r="J250" s="217"/>
      <c r="K250" s="217"/>
      <c r="L250" s="217"/>
      <c r="M250" s="1245"/>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7"/>
      <c r="C251" s="932"/>
      <c r="D251" s="932"/>
      <c r="E251" s="932"/>
      <c r="F251" s="932"/>
      <c r="G251" s="1244"/>
      <c r="H251" s="217"/>
      <c r="I251" s="217"/>
      <c r="J251" s="217"/>
      <c r="K251" s="217"/>
      <c r="L251" s="217"/>
      <c r="M251" s="1245"/>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7"/>
      <c r="C252" s="932"/>
      <c r="D252" s="932"/>
      <c r="E252" s="932"/>
      <c r="F252" s="932"/>
      <c r="G252" s="1244"/>
      <c r="H252" s="217"/>
      <c r="I252" s="217"/>
      <c r="J252" s="217"/>
      <c r="K252" s="217"/>
      <c r="L252" s="217"/>
      <c r="M252" s="1245"/>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7"/>
      <c r="C253" s="932"/>
      <c r="D253" s="932"/>
      <c r="E253" s="932"/>
      <c r="F253" s="932"/>
      <c r="G253" s="1244"/>
      <c r="H253" s="217"/>
      <c r="I253" s="217"/>
      <c r="J253" s="217"/>
      <c r="K253" s="217"/>
      <c r="L253" s="217"/>
      <c r="M253" s="1245"/>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7"/>
      <c r="C254" s="932"/>
      <c r="D254" s="932"/>
      <c r="E254" s="932"/>
      <c r="F254" s="932"/>
      <c r="G254" s="1244"/>
      <c r="H254" s="217"/>
      <c r="I254" s="217"/>
      <c r="J254" s="217"/>
      <c r="K254" s="217"/>
      <c r="L254" s="217"/>
      <c r="M254" s="1245"/>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7"/>
      <c r="C255" s="932"/>
      <c r="D255" s="932"/>
      <c r="E255" s="932"/>
      <c r="F255" s="932"/>
      <c r="G255" s="1244"/>
      <c r="H255" s="217"/>
      <c r="I255" s="217"/>
      <c r="J255" s="217"/>
      <c r="K255" s="217"/>
      <c r="L255" s="217"/>
      <c r="M255" s="1245"/>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7"/>
      <c r="C256" s="932"/>
      <c r="D256" s="932"/>
      <c r="E256" s="932"/>
      <c r="F256" s="932"/>
      <c r="G256" s="1244"/>
      <c r="H256" s="217"/>
      <c r="I256" s="217"/>
      <c r="J256" s="217"/>
      <c r="K256" s="217"/>
      <c r="L256" s="217"/>
      <c r="M256" s="1245"/>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7"/>
      <c r="C257" s="932"/>
      <c r="D257" s="932"/>
      <c r="E257" s="932"/>
      <c r="F257" s="932"/>
      <c r="G257" s="1244"/>
      <c r="H257" s="217"/>
      <c r="I257" s="217"/>
      <c r="J257" s="217"/>
      <c r="K257" s="217"/>
      <c r="L257" s="217"/>
      <c r="M257" s="1245"/>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7"/>
      <c r="C258" s="932"/>
      <c r="D258" s="932"/>
      <c r="E258" s="932"/>
      <c r="F258" s="932"/>
      <c r="G258" s="1244"/>
      <c r="H258" s="217"/>
      <c r="I258" s="217"/>
      <c r="J258" s="217"/>
      <c r="K258" s="217"/>
      <c r="L258" s="217"/>
      <c r="M258" s="1245"/>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7"/>
      <c r="C259" s="932"/>
      <c r="D259" s="932"/>
      <c r="E259" s="932"/>
      <c r="F259" s="932"/>
      <c r="G259" s="1244"/>
      <c r="H259" s="217"/>
      <c r="I259" s="217"/>
      <c r="J259" s="217"/>
      <c r="K259" s="217"/>
      <c r="L259" s="217"/>
      <c r="M259" s="1245"/>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7"/>
      <c r="C260" s="932"/>
      <c r="D260" s="932"/>
      <c r="E260" s="932"/>
      <c r="F260" s="932"/>
      <c r="G260" s="1244"/>
      <c r="H260" s="217"/>
      <c r="I260" s="217"/>
      <c r="J260" s="217"/>
      <c r="K260" s="217"/>
      <c r="L260" s="217"/>
      <c r="M260" s="1245"/>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7"/>
      <c r="C261" s="932"/>
      <c r="D261" s="932"/>
      <c r="E261" s="932"/>
      <c r="F261" s="932"/>
      <c r="G261" s="1244"/>
      <c r="H261" s="217"/>
      <c r="I261" s="217"/>
      <c r="J261" s="217"/>
      <c r="K261" s="217"/>
      <c r="L261" s="217"/>
      <c r="M261" s="1245"/>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7"/>
      <c r="C262" s="932"/>
      <c r="D262" s="932"/>
      <c r="E262" s="932"/>
      <c r="F262" s="932"/>
      <c r="G262" s="1244"/>
      <c r="H262" s="217"/>
      <c r="I262" s="217"/>
      <c r="J262" s="217"/>
      <c r="K262" s="217"/>
      <c r="L262" s="217"/>
      <c r="M262" s="1245"/>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7"/>
      <c r="C263" s="932"/>
      <c r="D263" s="932"/>
      <c r="E263" s="932"/>
      <c r="F263" s="932"/>
      <c r="G263" s="1244"/>
      <c r="H263" s="217"/>
      <c r="I263" s="217"/>
      <c r="J263" s="217"/>
      <c r="K263" s="217"/>
      <c r="L263" s="217"/>
      <c r="M263" s="1245"/>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7"/>
      <c r="C264" s="932"/>
      <c r="D264" s="932"/>
      <c r="E264" s="932"/>
      <c r="F264" s="932"/>
      <c r="G264" s="1244"/>
      <c r="H264" s="217"/>
      <c r="I264" s="217"/>
      <c r="J264" s="217"/>
      <c r="K264" s="217"/>
      <c r="L264" s="217"/>
      <c r="M264" s="1245"/>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7"/>
      <c r="C265" s="932"/>
      <c r="D265" s="932"/>
      <c r="E265" s="932"/>
      <c r="F265" s="932"/>
      <c r="G265" s="1244"/>
      <c r="H265" s="217"/>
      <c r="I265" s="217"/>
      <c r="J265" s="217"/>
      <c r="K265" s="217"/>
      <c r="L265" s="217"/>
      <c r="M265" s="1245"/>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7"/>
      <c r="C266" s="932"/>
      <c r="D266" s="932"/>
      <c r="E266" s="932"/>
      <c r="F266" s="932"/>
      <c r="G266" s="1244"/>
      <c r="H266" s="217"/>
      <c r="I266" s="217"/>
      <c r="J266" s="217"/>
      <c r="K266" s="217"/>
      <c r="L266" s="217"/>
      <c r="M266" s="1245"/>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7"/>
      <c r="C267" s="932"/>
      <c r="D267" s="932"/>
      <c r="E267" s="932"/>
      <c r="F267" s="932"/>
      <c r="G267" s="1244"/>
      <c r="H267" s="217"/>
      <c r="I267" s="217"/>
      <c r="J267" s="217"/>
      <c r="K267" s="217"/>
      <c r="L267" s="217"/>
      <c r="M267" s="1245"/>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7"/>
      <c r="C268" s="932"/>
      <c r="D268" s="932"/>
      <c r="E268" s="932"/>
      <c r="F268" s="932"/>
      <c r="G268" s="1244"/>
      <c r="H268" s="217"/>
      <c r="I268" s="217"/>
      <c r="J268" s="217"/>
      <c r="K268" s="217"/>
      <c r="L268" s="217"/>
      <c r="M268" s="1245"/>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7"/>
      <c r="C269" s="932"/>
      <c r="D269" s="932"/>
      <c r="E269" s="932"/>
      <c r="F269" s="932"/>
      <c r="G269" s="1244"/>
      <c r="H269" s="217"/>
      <c r="I269" s="217"/>
      <c r="J269" s="217"/>
      <c r="K269" s="217"/>
      <c r="L269" s="217"/>
      <c r="M269" s="1245"/>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7"/>
      <c r="C270" s="932"/>
      <c r="D270" s="932"/>
      <c r="E270" s="932"/>
      <c r="F270" s="932"/>
      <c r="G270" s="1244"/>
      <c r="H270" s="217"/>
      <c r="I270" s="217"/>
      <c r="J270" s="217"/>
      <c r="K270" s="217"/>
      <c r="L270" s="217"/>
      <c r="M270" s="1245"/>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7"/>
      <c r="C271" s="932"/>
      <c r="D271" s="932"/>
      <c r="E271" s="932"/>
      <c r="F271" s="932"/>
      <c r="G271" s="1244"/>
      <c r="H271" s="217"/>
      <c r="I271" s="217"/>
      <c r="J271" s="217"/>
      <c r="K271" s="217"/>
      <c r="L271" s="217"/>
      <c r="M271" s="1245"/>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7"/>
      <c r="C272" s="932"/>
      <c r="D272" s="932"/>
      <c r="E272" s="932"/>
      <c r="F272" s="932"/>
      <c r="G272" s="1244"/>
      <c r="H272" s="217"/>
      <c r="I272" s="217"/>
      <c r="J272" s="217"/>
      <c r="K272" s="217"/>
      <c r="L272" s="217"/>
      <c r="M272" s="1245"/>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7"/>
      <c r="C273" s="932"/>
      <c r="D273" s="932"/>
      <c r="E273" s="932"/>
      <c r="F273" s="932"/>
      <c r="G273" s="1244"/>
      <c r="H273" s="217"/>
      <c r="I273" s="217"/>
      <c r="J273" s="217"/>
      <c r="K273" s="217"/>
      <c r="L273" s="217"/>
      <c r="M273" s="1245"/>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7"/>
      <c r="C274" s="932"/>
      <c r="D274" s="932"/>
      <c r="E274" s="932"/>
      <c r="F274" s="932"/>
      <c r="G274" s="1244"/>
      <c r="H274" s="217"/>
      <c r="I274" s="217"/>
      <c r="J274" s="217"/>
      <c r="K274" s="217"/>
      <c r="L274" s="217"/>
      <c r="M274" s="1245"/>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7"/>
      <c r="C275" s="932"/>
      <c r="D275" s="932"/>
      <c r="E275" s="932"/>
      <c r="F275" s="932"/>
      <c r="G275" s="1244"/>
      <c r="H275" s="217"/>
      <c r="I275" s="217"/>
      <c r="J275" s="217"/>
      <c r="K275" s="217"/>
      <c r="L275" s="217"/>
      <c r="M275" s="1245"/>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7"/>
      <c r="C276" s="932"/>
      <c r="D276" s="932"/>
      <c r="E276" s="932"/>
      <c r="F276" s="932"/>
      <c r="G276" s="1244"/>
      <c r="H276" s="217"/>
      <c r="I276" s="217"/>
      <c r="J276" s="217"/>
      <c r="K276" s="217"/>
      <c r="L276" s="217"/>
      <c r="M276" s="1245"/>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7"/>
      <c r="C277" s="932"/>
      <c r="D277" s="932"/>
      <c r="E277" s="932"/>
      <c r="F277" s="932"/>
      <c r="G277" s="1244"/>
      <c r="H277" s="217"/>
      <c r="I277" s="217"/>
      <c r="J277" s="217"/>
      <c r="K277" s="217"/>
      <c r="L277" s="217"/>
      <c r="M277" s="1245"/>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7"/>
      <c r="C278" s="932"/>
      <c r="D278" s="932"/>
      <c r="E278" s="932"/>
      <c r="F278" s="932"/>
      <c r="G278" s="1244"/>
      <c r="H278" s="217"/>
      <c r="I278" s="217"/>
      <c r="J278" s="217"/>
      <c r="K278" s="217"/>
      <c r="L278" s="217"/>
      <c r="M278" s="1245"/>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7"/>
      <c r="C279" s="932"/>
      <c r="D279" s="932"/>
      <c r="E279" s="932"/>
      <c r="F279" s="932"/>
      <c r="G279" s="1244"/>
      <c r="H279" s="217"/>
      <c r="I279" s="217"/>
      <c r="J279" s="217"/>
      <c r="K279" s="217"/>
      <c r="L279" s="217"/>
      <c r="M279" s="1245"/>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7"/>
      <c r="C280" s="932"/>
      <c r="D280" s="932"/>
      <c r="E280" s="932"/>
      <c r="F280" s="932"/>
      <c r="G280" s="1244"/>
      <c r="H280" s="217"/>
      <c r="I280" s="217"/>
      <c r="J280" s="217"/>
      <c r="K280" s="217"/>
      <c r="L280" s="217"/>
      <c r="M280" s="1245"/>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7"/>
      <c r="C281" s="932"/>
      <c r="D281" s="932"/>
      <c r="E281" s="932"/>
      <c r="F281" s="932"/>
      <c r="G281" s="1244"/>
      <c r="H281" s="217"/>
      <c r="I281" s="217"/>
      <c r="J281" s="217"/>
      <c r="K281" s="217"/>
      <c r="L281" s="217"/>
      <c r="M281" s="1245"/>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7"/>
      <c r="C282" s="932"/>
      <c r="D282" s="932"/>
      <c r="E282" s="932"/>
      <c r="F282" s="932"/>
      <c r="G282" s="1244"/>
      <c r="H282" s="217"/>
      <c r="I282" s="217"/>
      <c r="J282" s="217"/>
      <c r="K282" s="217"/>
      <c r="L282" s="217"/>
      <c r="M282" s="1245"/>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7"/>
      <c r="C283" s="932"/>
      <c r="D283" s="932"/>
      <c r="E283" s="932"/>
      <c r="F283" s="932"/>
      <c r="G283" s="1244"/>
      <c r="H283" s="217"/>
      <c r="I283" s="217"/>
      <c r="J283" s="217"/>
      <c r="K283" s="217"/>
      <c r="L283" s="217"/>
      <c r="M283" s="1245"/>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7"/>
      <c r="C284" s="932"/>
      <c r="D284" s="932"/>
      <c r="E284" s="932"/>
      <c r="F284" s="932"/>
      <c r="G284" s="1244"/>
      <c r="H284" s="217"/>
      <c r="I284" s="217"/>
      <c r="J284" s="217"/>
      <c r="K284" s="217"/>
      <c r="L284" s="217"/>
      <c r="M284" s="1245"/>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7"/>
      <c r="C285" s="932"/>
      <c r="D285" s="932"/>
      <c r="E285" s="932"/>
      <c r="F285" s="932"/>
      <c r="G285" s="1244"/>
      <c r="H285" s="217"/>
      <c r="I285" s="217"/>
      <c r="J285" s="217"/>
      <c r="K285" s="217"/>
      <c r="L285" s="217"/>
      <c r="M285" s="1245"/>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7"/>
      <c r="C286" s="932"/>
      <c r="D286" s="932"/>
      <c r="E286" s="932"/>
      <c r="F286" s="932"/>
      <c r="G286" s="1244"/>
      <c r="H286" s="217"/>
      <c r="I286" s="217"/>
      <c r="J286" s="217"/>
      <c r="K286" s="217"/>
      <c r="L286" s="217"/>
      <c r="M286" s="1245"/>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7"/>
      <c r="C287" s="932"/>
      <c r="D287" s="932"/>
      <c r="E287" s="932"/>
      <c r="F287" s="932"/>
      <c r="G287" s="1244"/>
      <c r="H287" s="217"/>
      <c r="I287" s="217"/>
      <c r="J287" s="217"/>
      <c r="K287" s="217"/>
      <c r="L287" s="217"/>
      <c r="M287" s="1245"/>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7"/>
      <c r="C288" s="932"/>
      <c r="D288" s="932"/>
      <c r="E288" s="932"/>
      <c r="F288" s="932"/>
      <c r="G288" s="1244"/>
      <c r="H288" s="217"/>
      <c r="I288" s="217"/>
      <c r="J288" s="217"/>
      <c r="K288" s="217"/>
      <c r="L288" s="217"/>
      <c r="M288" s="1245"/>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7"/>
      <c r="C289" s="932"/>
      <c r="D289" s="932"/>
      <c r="E289" s="932"/>
      <c r="F289" s="932"/>
      <c r="G289" s="1244"/>
      <c r="H289" s="217"/>
      <c r="I289" s="217"/>
      <c r="J289" s="217"/>
      <c r="K289" s="217"/>
      <c r="L289" s="217"/>
      <c r="M289" s="1245"/>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7"/>
      <c r="C290" s="932"/>
      <c r="D290" s="932"/>
      <c r="E290" s="932"/>
      <c r="F290" s="932"/>
      <c r="G290" s="1244"/>
      <c r="H290" s="217"/>
      <c r="I290" s="217"/>
      <c r="J290" s="217"/>
      <c r="K290" s="217"/>
      <c r="L290" s="217"/>
      <c r="M290" s="1245"/>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7"/>
      <c r="C291" s="932"/>
      <c r="D291" s="932"/>
      <c r="E291" s="932"/>
      <c r="F291" s="932"/>
      <c r="G291" s="1244"/>
      <c r="H291" s="217"/>
      <c r="I291" s="217"/>
      <c r="J291" s="217"/>
      <c r="K291" s="217"/>
      <c r="L291" s="217"/>
      <c r="M291" s="1245"/>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7"/>
      <c r="C292" s="932"/>
      <c r="D292" s="932"/>
      <c r="E292" s="932"/>
      <c r="F292" s="932"/>
      <c r="G292" s="1244"/>
      <c r="H292" s="217"/>
      <c r="I292" s="217"/>
      <c r="J292" s="217"/>
      <c r="K292" s="217"/>
      <c r="L292" s="217"/>
      <c r="M292" s="1245"/>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7"/>
      <c r="C293" s="932"/>
      <c r="D293" s="932"/>
      <c r="E293" s="932"/>
      <c r="F293" s="932"/>
      <c r="G293" s="1244"/>
      <c r="H293" s="217"/>
      <c r="I293" s="217"/>
      <c r="J293" s="217"/>
      <c r="K293" s="217"/>
      <c r="L293" s="217"/>
      <c r="M293" s="1245"/>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7"/>
      <c r="C294" s="932"/>
      <c r="D294" s="932"/>
      <c r="E294" s="932"/>
      <c r="F294" s="932"/>
      <c r="G294" s="1244"/>
      <c r="H294" s="217"/>
      <c r="I294" s="217"/>
      <c r="J294" s="217"/>
      <c r="K294" s="217"/>
      <c r="L294" s="217"/>
      <c r="M294" s="1245"/>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7"/>
      <c r="C295" s="932"/>
      <c r="D295" s="932"/>
      <c r="E295" s="932"/>
      <c r="F295" s="932"/>
      <c r="G295" s="1244"/>
      <c r="H295" s="217"/>
      <c r="I295" s="217"/>
      <c r="J295" s="217"/>
      <c r="K295" s="217"/>
      <c r="L295" s="217"/>
      <c r="M295" s="1245"/>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7"/>
      <c r="C296" s="932"/>
      <c r="D296" s="932"/>
      <c r="E296" s="932"/>
      <c r="F296" s="932"/>
      <c r="G296" s="1244"/>
      <c r="H296" s="217"/>
      <c r="I296" s="217"/>
      <c r="J296" s="217"/>
      <c r="K296" s="217"/>
      <c r="L296" s="217"/>
      <c r="M296" s="1245"/>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7"/>
      <c r="C297" s="932"/>
      <c r="D297" s="932"/>
      <c r="E297" s="932"/>
      <c r="F297" s="932"/>
      <c r="G297" s="1244"/>
      <c r="H297" s="217"/>
      <c r="I297" s="217"/>
      <c r="J297" s="217"/>
      <c r="K297" s="217"/>
      <c r="L297" s="217"/>
      <c r="M297" s="1245"/>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7"/>
      <c r="C298" s="932"/>
      <c r="D298" s="932"/>
      <c r="E298" s="932"/>
      <c r="F298" s="932"/>
      <c r="G298" s="1244"/>
      <c r="H298" s="217"/>
      <c r="I298" s="217"/>
      <c r="J298" s="217"/>
      <c r="K298" s="217"/>
      <c r="L298" s="217"/>
      <c r="M298" s="1245"/>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7"/>
      <c r="C299" s="932"/>
      <c r="D299" s="932"/>
      <c r="E299" s="932"/>
      <c r="F299" s="932"/>
      <c r="G299" s="1244"/>
      <c r="H299" s="217"/>
      <c r="I299" s="217"/>
      <c r="J299" s="217"/>
      <c r="K299" s="217"/>
      <c r="L299" s="217"/>
      <c r="M299" s="1245"/>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49"/>
      <c r="I300" s="249"/>
      <c r="J300" s="249"/>
      <c r="K300" s="249"/>
      <c r="L300" s="249"/>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180"/>
      <c r="C301" s="1180"/>
      <c r="D301" s="1180"/>
      <c r="E301" s="310"/>
      <c r="F301" s="1180"/>
      <c r="G301" s="1180"/>
      <c r="H301" s="1180"/>
      <c r="I301" s="1180"/>
      <c r="J301" s="1180" t="s">
        <v>1026</v>
      </c>
      <c r="K301" s="1180"/>
      <c r="L301" s="1180"/>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180"/>
      <c r="C302" s="1180"/>
      <c r="D302" s="1180"/>
      <c r="E302" s="310"/>
      <c r="F302" s="1180"/>
      <c r="G302" s="1180"/>
      <c r="H302" s="1180"/>
      <c r="I302" s="1180"/>
      <c r="J302" s="1180" t="s">
        <v>1026</v>
      </c>
      <c r="K302" s="1180"/>
      <c r="L302" s="1180"/>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180"/>
      <c r="C303" s="1180"/>
      <c r="D303" s="1180"/>
      <c r="E303" s="310"/>
      <c r="F303" s="1180"/>
      <c r="G303" s="1180"/>
      <c r="H303" s="1180"/>
      <c r="I303" s="1180"/>
      <c r="J303" s="1180" t="s">
        <v>1026</v>
      </c>
      <c r="K303" s="1180"/>
      <c r="L303" s="1180"/>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180"/>
      <c r="C304" s="1180"/>
      <c r="D304" s="1180"/>
      <c r="E304" s="310"/>
      <c r="F304" s="1180"/>
      <c r="G304" s="1180"/>
      <c r="H304" s="1180"/>
      <c r="I304" s="1180"/>
      <c r="J304" s="1180" t="s">
        <v>1026</v>
      </c>
      <c r="K304" s="1180"/>
      <c r="L304" s="1180"/>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180"/>
      <c r="C305" s="1180"/>
      <c r="D305" s="1180"/>
      <c r="E305" s="310"/>
      <c r="F305" s="1180"/>
      <c r="G305" s="1180"/>
      <c r="H305" s="1180"/>
      <c r="I305" s="1180"/>
      <c r="J305" s="1180" t="s">
        <v>1026</v>
      </c>
      <c r="K305" s="1180"/>
      <c r="L305" s="1180"/>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180"/>
      <c r="C306" s="1180"/>
      <c r="D306" s="1180"/>
      <c r="E306" s="310"/>
      <c r="F306" s="1180"/>
      <c r="G306" s="1180"/>
      <c r="H306" s="1180"/>
      <c r="I306" s="1180"/>
      <c r="J306" s="1180" t="s">
        <v>1026</v>
      </c>
      <c r="K306" s="1180"/>
      <c r="L306" s="1180"/>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180"/>
      <c r="C307" s="1180"/>
      <c r="D307" s="1180"/>
      <c r="E307" s="310"/>
      <c r="F307" s="1180"/>
      <c r="G307" s="1180"/>
      <c r="H307" s="1180"/>
      <c r="I307" s="1180"/>
      <c r="J307" s="1180" t="s">
        <v>1026</v>
      </c>
      <c r="K307" s="1180"/>
      <c r="L307" s="1180"/>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180"/>
      <c r="C308" s="1180"/>
      <c r="D308" s="1180"/>
      <c r="E308" s="310"/>
      <c r="F308" s="1180"/>
      <c r="G308" s="1180"/>
      <c r="H308" s="1180"/>
      <c r="I308" s="1180"/>
      <c r="J308" s="1180" t="s">
        <v>1026</v>
      </c>
      <c r="K308" s="1180"/>
      <c r="L308" s="1180"/>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180"/>
      <c r="C309" s="1180"/>
      <c r="D309" s="1180"/>
      <c r="E309" s="310"/>
      <c r="F309" s="1180"/>
      <c r="G309" s="1180"/>
      <c r="H309" s="1180"/>
      <c r="I309" s="1180"/>
      <c r="J309" s="1180" t="s">
        <v>1026</v>
      </c>
      <c r="K309" s="1180"/>
      <c r="L309" s="1180"/>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180"/>
      <c r="C310" s="1180"/>
      <c r="D310" s="1180"/>
      <c r="E310" s="310"/>
      <c r="F310" s="1180"/>
      <c r="G310" s="1180"/>
      <c r="H310" s="1180"/>
      <c r="I310" s="1180"/>
      <c r="J310" s="1180" t="s">
        <v>1026</v>
      </c>
      <c r="K310" s="1180"/>
      <c r="L310" s="1180"/>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180"/>
      <c r="C311" s="1180"/>
      <c r="D311" s="1180"/>
      <c r="E311" s="310"/>
      <c r="F311" s="1180"/>
      <c r="G311" s="1180"/>
      <c r="H311" s="1180"/>
      <c r="I311" s="1180"/>
      <c r="J311" s="1180" t="s">
        <v>1026</v>
      </c>
      <c r="K311" s="1180"/>
      <c r="L311" s="1180"/>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180"/>
      <c r="C312" s="1180"/>
      <c r="D312" s="1180"/>
      <c r="E312" s="310"/>
      <c r="F312" s="1180"/>
      <c r="G312" s="1180"/>
      <c r="H312" s="1180"/>
      <c r="I312" s="1180"/>
      <c r="J312" s="1180" t="s">
        <v>1026</v>
      </c>
      <c r="K312" s="1180"/>
      <c r="L312" s="1180"/>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180"/>
      <c r="C313" s="1180"/>
      <c r="D313" s="1180"/>
      <c r="E313" s="310"/>
      <c r="F313" s="1180"/>
      <c r="G313" s="1180"/>
      <c r="H313" s="1180"/>
      <c r="I313" s="1180"/>
      <c r="J313" s="1180" t="s">
        <v>1026</v>
      </c>
      <c r="K313" s="1180"/>
      <c r="L313" s="1180"/>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180"/>
      <c r="C314" s="1180"/>
      <c r="D314" s="1180"/>
      <c r="E314" s="310"/>
      <c r="F314" s="1180"/>
      <c r="G314" s="1180"/>
      <c r="H314" s="1180"/>
      <c r="I314" s="1180"/>
      <c r="J314" s="1180" t="s">
        <v>1026</v>
      </c>
      <c r="K314" s="1180"/>
      <c r="L314" s="1180"/>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180"/>
      <c r="C315" s="1180"/>
      <c r="D315" s="1180"/>
      <c r="E315" s="310"/>
      <c r="F315" s="1180"/>
      <c r="G315" s="1180"/>
      <c r="H315" s="1180"/>
      <c r="I315" s="1180"/>
      <c r="J315" s="1180" t="s">
        <v>1026</v>
      </c>
      <c r="K315" s="1180"/>
      <c r="L315" s="1180"/>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180"/>
      <c r="C316" s="1180"/>
      <c r="D316" s="1180"/>
      <c r="E316" s="310"/>
      <c r="F316" s="1180"/>
      <c r="G316" s="1180"/>
      <c r="H316" s="1180"/>
      <c r="I316" s="1180"/>
      <c r="J316" s="1180" t="s">
        <v>1026</v>
      </c>
      <c r="K316" s="1180"/>
      <c r="L316" s="1180"/>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180"/>
      <c r="C317" s="1180"/>
      <c r="D317" s="1180"/>
      <c r="E317" s="310"/>
      <c r="F317" s="1180"/>
      <c r="G317" s="1180"/>
      <c r="H317" s="1180"/>
      <c r="I317" s="1180"/>
      <c r="J317" s="1180" t="s">
        <v>1026</v>
      </c>
      <c r="K317" s="1180"/>
      <c r="L317" s="1180"/>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180"/>
      <c r="C318" s="1180"/>
      <c r="D318" s="1180"/>
      <c r="E318" s="310"/>
      <c r="F318" s="1180"/>
      <c r="G318" s="1180"/>
      <c r="H318" s="1180"/>
      <c r="I318" s="1180"/>
      <c r="J318" s="1180" t="s">
        <v>1026</v>
      </c>
      <c r="K318" s="1180"/>
      <c r="L318" s="1180"/>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180"/>
      <c r="C319" s="1180"/>
      <c r="D319" s="1180"/>
      <c r="E319" s="310"/>
      <c r="F319" s="1180"/>
      <c r="G319" s="1180"/>
      <c r="H319" s="1180"/>
      <c r="I319" s="1180"/>
      <c r="J319" s="1180" t="s">
        <v>1026</v>
      </c>
      <c r="K319" s="1180"/>
      <c r="L319" s="1180"/>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180"/>
      <c r="C320" s="1180"/>
      <c r="D320" s="1180"/>
      <c r="E320" s="310"/>
      <c r="F320" s="1180"/>
      <c r="G320" s="1180"/>
      <c r="H320" s="1180"/>
      <c r="I320" s="1180"/>
      <c r="J320" s="1180" t="s">
        <v>1026</v>
      </c>
      <c r="K320" s="1180"/>
      <c r="L320" s="1180"/>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180"/>
      <c r="C321" s="1180"/>
      <c r="D321" s="1180"/>
      <c r="E321" s="310"/>
      <c r="F321" s="1180"/>
      <c r="G321" s="1180"/>
      <c r="H321" s="1180"/>
      <c r="I321" s="1180"/>
      <c r="J321" s="1180" t="s">
        <v>1026</v>
      </c>
      <c r="K321" s="1180"/>
      <c r="L321" s="1180"/>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180"/>
      <c r="C322" s="1180"/>
      <c r="D322" s="1180"/>
      <c r="E322" s="310"/>
      <c r="F322" s="1180"/>
      <c r="G322" s="1180"/>
      <c r="H322" s="1180"/>
      <c r="I322" s="1180"/>
      <c r="J322" s="1180" t="s">
        <v>1026</v>
      </c>
      <c r="K322" s="1180"/>
      <c r="L322" s="1180"/>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180"/>
      <c r="C323" s="1180"/>
      <c r="D323" s="1180"/>
      <c r="E323" s="310"/>
      <c r="F323" s="1180"/>
      <c r="G323" s="1180"/>
      <c r="H323" s="1180"/>
      <c r="I323" s="1180"/>
      <c r="J323" s="1180" t="s">
        <v>1026</v>
      </c>
      <c r="K323" s="1180"/>
      <c r="L323" s="1180"/>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180"/>
      <c r="C324" s="1180"/>
      <c r="D324" s="1180"/>
      <c r="E324" s="310"/>
      <c r="F324" s="1180"/>
      <c r="G324" s="1180"/>
      <c r="H324" s="1180"/>
      <c r="I324" s="1180"/>
      <c r="J324" s="1180" t="s">
        <v>1026</v>
      </c>
      <c r="K324" s="1180"/>
      <c r="L324" s="1180"/>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180"/>
      <c r="C325" s="1180"/>
      <c r="D325" s="1180"/>
      <c r="E325" s="310"/>
      <c r="F325" s="1180"/>
      <c r="G325" s="1180"/>
      <c r="H325" s="1180"/>
      <c r="I325" s="1180"/>
      <c r="J325" s="1180" t="s">
        <v>1026</v>
      </c>
      <c r="K325" s="1180"/>
      <c r="L325" s="1180"/>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180"/>
      <c r="C326" s="1180"/>
      <c r="D326" s="1180"/>
      <c r="E326" s="310"/>
      <c r="F326" s="1180"/>
      <c r="G326" s="1180"/>
      <c r="H326" s="1180"/>
      <c r="I326" s="1180"/>
      <c r="J326" s="1180" t="s">
        <v>1026</v>
      </c>
      <c r="K326" s="1180"/>
      <c r="L326" s="1180"/>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180"/>
      <c r="C327" s="1180"/>
      <c r="D327" s="1180"/>
      <c r="E327" s="310"/>
      <c r="F327" s="1180"/>
      <c r="G327" s="1180"/>
      <c r="H327" s="1180"/>
      <c r="I327" s="1180"/>
      <c r="J327" s="1180" t="s">
        <v>1026</v>
      </c>
      <c r="K327" s="1180"/>
      <c r="L327" s="1180"/>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180"/>
      <c r="C328" s="1180"/>
      <c r="D328" s="1180"/>
      <c r="E328" s="310"/>
      <c r="F328" s="1180"/>
      <c r="G328" s="1180"/>
      <c r="H328" s="1180"/>
      <c r="I328" s="1180"/>
      <c r="J328" s="1180" t="s">
        <v>1026</v>
      </c>
      <c r="K328" s="1180"/>
      <c r="L328" s="1180"/>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180"/>
      <c r="C329" s="1180"/>
      <c r="D329" s="1180"/>
      <c r="E329" s="310"/>
      <c r="F329" s="1180"/>
      <c r="G329" s="1180"/>
      <c r="H329" s="1180"/>
      <c r="I329" s="1180"/>
      <c r="J329" s="1180" t="s">
        <v>1026</v>
      </c>
      <c r="K329" s="1180"/>
      <c r="L329" s="1180"/>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180"/>
      <c r="C330" s="1180"/>
      <c r="D330" s="1180"/>
      <c r="E330" s="310"/>
      <c r="F330" s="1180"/>
      <c r="G330" s="1180"/>
      <c r="H330" s="1180"/>
      <c r="I330" s="1180"/>
      <c r="J330" s="1180" t="s">
        <v>1026</v>
      </c>
      <c r="K330" s="1180"/>
      <c r="L330" s="1180"/>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180"/>
      <c r="C331" s="1180"/>
      <c r="D331" s="1180"/>
      <c r="E331" s="310"/>
      <c r="F331" s="1180"/>
      <c r="G331" s="1180"/>
      <c r="H331" s="1180"/>
      <c r="I331" s="1180"/>
      <c r="J331" s="1180" t="s">
        <v>1026</v>
      </c>
      <c r="K331" s="1180"/>
      <c r="L331" s="1180"/>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180"/>
      <c r="C332" s="1180"/>
      <c r="D332" s="1180"/>
      <c r="E332" s="310"/>
      <c r="F332" s="1180"/>
      <c r="G332" s="1180"/>
      <c r="H332" s="1180"/>
      <c r="I332" s="1180"/>
      <c r="J332" s="1180" t="s">
        <v>1026</v>
      </c>
      <c r="K332" s="1180"/>
      <c r="L332" s="1180"/>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180"/>
      <c r="C333" s="1180"/>
      <c r="D333" s="1180"/>
      <c r="E333" s="310"/>
      <c r="F333" s="1180"/>
      <c r="G333" s="1180"/>
      <c r="H333" s="1180"/>
      <c r="I333" s="1180"/>
      <c r="J333" s="1180" t="s">
        <v>1026</v>
      </c>
      <c r="K333" s="1180"/>
      <c r="L333" s="1180"/>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180"/>
      <c r="C334" s="1180"/>
      <c r="D334" s="1180"/>
      <c r="E334" s="310"/>
      <c r="F334" s="1180"/>
      <c r="G334" s="1180"/>
      <c r="H334" s="1180"/>
      <c r="I334" s="1180"/>
      <c r="J334" s="1180" t="s">
        <v>1026</v>
      </c>
      <c r="K334" s="1180"/>
      <c r="L334" s="1180"/>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180"/>
      <c r="C335" s="1180"/>
      <c r="D335" s="1180"/>
      <c r="E335" s="310"/>
      <c r="F335" s="1180"/>
      <c r="G335" s="1180"/>
      <c r="H335" s="1180"/>
      <c r="I335" s="1180"/>
      <c r="J335" s="1180" t="s">
        <v>1026</v>
      </c>
      <c r="K335" s="1180"/>
      <c r="L335" s="1180"/>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180"/>
      <c r="C336" s="1180"/>
      <c r="D336" s="1180"/>
      <c r="E336" s="310"/>
      <c r="F336" s="1180"/>
      <c r="G336" s="1180"/>
      <c r="H336" s="1180"/>
      <c r="I336" s="1180"/>
      <c r="J336" s="1180" t="s">
        <v>1026</v>
      </c>
      <c r="K336" s="1180"/>
      <c r="L336" s="1180"/>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180"/>
      <c r="C337" s="1180"/>
      <c r="D337" s="1180"/>
      <c r="E337" s="310"/>
      <c r="F337" s="1180"/>
      <c r="G337" s="1180"/>
      <c r="H337" s="1180"/>
      <c r="I337" s="1180"/>
      <c r="J337" s="1180" t="s">
        <v>1026</v>
      </c>
      <c r="K337" s="1180"/>
      <c r="L337" s="1180"/>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180"/>
      <c r="C338" s="1180"/>
      <c r="D338" s="1180"/>
      <c r="E338" s="310"/>
      <c r="F338" s="1180"/>
      <c r="G338" s="1180"/>
      <c r="H338" s="1180"/>
      <c r="I338" s="1180"/>
      <c r="J338" s="1180" t="s">
        <v>1026</v>
      </c>
      <c r="K338" s="1180"/>
      <c r="L338" s="1180"/>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180"/>
      <c r="C339" s="1180"/>
      <c r="D339" s="1180"/>
      <c r="E339" s="310"/>
      <c r="F339" s="1180"/>
      <c r="G339" s="1180"/>
      <c r="H339" s="1180"/>
      <c r="I339" s="1180"/>
      <c r="J339" s="1180" t="s">
        <v>1026</v>
      </c>
      <c r="K339" s="1180"/>
      <c r="L339" s="1180"/>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180"/>
      <c r="C340" s="1180"/>
      <c r="D340" s="1180"/>
      <c r="E340" s="310"/>
      <c r="F340" s="1180"/>
      <c r="G340" s="1180"/>
      <c r="H340" s="1180"/>
      <c r="I340" s="1180"/>
      <c r="J340" s="1180" t="s">
        <v>1026</v>
      </c>
      <c r="K340" s="1180"/>
      <c r="L340" s="1180"/>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180"/>
      <c r="C341" s="1180"/>
      <c r="D341" s="1180"/>
      <c r="E341" s="310"/>
      <c r="F341" s="1180"/>
      <c r="G341" s="1180"/>
      <c r="H341" s="1180"/>
      <c r="I341" s="1180"/>
      <c r="J341" s="1180" t="s">
        <v>1026</v>
      </c>
      <c r="K341" s="1180"/>
      <c r="L341" s="1180"/>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180"/>
      <c r="C342" s="1180"/>
      <c r="D342" s="1180"/>
      <c r="E342" s="310"/>
      <c r="F342" s="1180"/>
      <c r="G342" s="1180"/>
      <c r="H342" s="1180"/>
      <c r="I342" s="1180"/>
      <c r="J342" s="1180" t="s">
        <v>1026</v>
      </c>
      <c r="K342" s="1180"/>
      <c r="L342" s="1180"/>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180"/>
      <c r="C343" s="1180"/>
      <c r="D343" s="1180"/>
      <c r="E343" s="310"/>
      <c r="F343" s="1180"/>
      <c r="G343" s="1180"/>
      <c r="H343" s="1180"/>
      <c r="I343" s="1180"/>
      <c r="J343" s="1180" t="s">
        <v>1026</v>
      </c>
      <c r="K343" s="1180"/>
      <c r="L343" s="1180"/>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180"/>
      <c r="C344" s="1180"/>
      <c r="D344" s="1180"/>
      <c r="E344" s="310"/>
      <c r="F344" s="1180"/>
      <c r="G344" s="1180"/>
      <c r="H344" s="1180"/>
      <c r="I344" s="1180"/>
      <c r="J344" s="1180" t="s">
        <v>1026</v>
      </c>
      <c r="K344" s="1180"/>
      <c r="L344" s="1180"/>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180"/>
      <c r="C345" s="1180"/>
      <c r="D345" s="1180"/>
      <c r="E345" s="310"/>
      <c r="F345" s="1180"/>
      <c r="G345" s="1180"/>
      <c r="H345" s="1180"/>
      <c r="I345" s="1180"/>
      <c r="J345" s="1180" t="s">
        <v>1026</v>
      </c>
      <c r="K345" s="1180"/>
      <c r="L345" s="1180"/>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180"/>
      <c r="C346" s="1180"/>
      <c r="D346" s="1180"/>
      <c r="E346" s="310"/>
      <c r="F346" s="1180"/>
      <c r="G346" s="1180"/>
      <c r="H346" s="1180"/>
      <c r="I346" s="1180"/>
      <c r="J346" s="1180" t="s">
        <v>1026</v>
      </c>
      <c r="K346" s="1180"/>
      <c r="L346" s="1180"/>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180"/>
      <c r="C347" s="1180"/>
      <c r="D347" s="1180"/>
      <c r="E347" s="310"/>
      <c r="F347" s="1180"/>
      <c r="G347" s="1180"/>
      <c r="H347" s="1180"/>
      <c r="I347" s="1180"/>
      <c r="J347" s="1180" t="s">
        <v>1026</v>
      </c>
      <c r="K347" s="1180"/>
      <c r="L347" s="1180"/>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180"/>
      <c r="C348" s="1180"/>
      <c r="D348" s="1180"/>
      <c r="E348" s="310"/>
      <c r="F348" s="1180"/>
      <c r="G348" s="1180"/>
      <c r="H348" s="1180"/>
      <c r="I348" s="1180"/>
      <c r="J348" s="1180" t="s">
        <v>1026</v>
      </c>
      <c r="K348" s="1180"/>
      <c r="L348" s="1180"/>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180"/>
      <c r="C349" s="1180"/>
      <c r="D349" s="1180"/>
      <c r="E349" s="310"/>
      <c r="F349" s="1180"/>
      <c r="G349" s="1180"/>
      <c r="H349" s="1180"/>
      <c r="I349" s="1180"/>
      <c r="J349" s="1180" t="s">
        <v>1026</v>
      </c>
      <c r="K349" s="1180"/>
      <c r="L349" s="1180"/>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180"/>
      <c r="C350" s="1180"/>
      <c r="D350" s="1180"/>
      <c r="E350" s="310"/>
      <c r="F350" s="1180"/>
      <c r="G350" s="1180"/>
      <c r="H350" s="1180"/>
      <c r="I350" s="1180"/>
      <c r="J350" s="1180" t="s">
        <v>1026</v>
      </c>
      <c r="K350" s="1180"/>
      <c r="L350" s="1180"/>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180"/>
      <c r="C351" s="1180"/>
      <c r="D351" s="1180"/>
      <c r="E351" s="310"/>
      <c r="F351" s="1180"/>
      <c r="G351" s="1180"/>
      <c r="H351" s="1180"/>
      <c r="I351" s="1180"/>
      <c r="J351" s="1180" t="s">
        <v>1026</v>
      </c>
      <c r="K351" s="1180"/>
      <c r="L351" s="1180"/>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180"/>
      <c r="C352" s="1180"/>
      <c r="D352" s="1180"/>
      <c r="E352" s="310"/>
      <c r="F352" s="1180"/>
      <c r="G352" s="1180"/>
      <c r="H352" s="1180"/>
      <c r="I352" s="1180"/>
      <c r="J352" s="1180" t="s">
        <v>1026</v>
      </c>
      <c r="K352" s="1180"/>
      <c r="L352" s="1180"/>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180"/>
      <c r="C353" s="1180"/>
      <c r="D353" s="1180"/>
      <c r="E353" s="310"/>
      <c r="F353" s="1180"/>
      <c r="G353" s="1180"/>
      <c r="H353" s="1180"/>
      <c r="I353" s="1180"/>
      <c r="J353" s="1180" t="s">
        <v>1026</v>
      </c>
      <c r="K353" s="1180"/>
      <c r="L353" s="1180"/>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180"/>
      <c r="C354" s="1180"/>
      <c r="D354" s="1180"/>
      <c r="E354" s="310"/>
      <c r="F354" s="1180"/>
      <c r="G354" s="1180"/>
      <c r="H354" s="1180"/>
      <c r="I354" s="1180"/>
      <c r="J354" s="1180" t="s">
        <v>1026</v>
      </c>
      <c r="K354" s="1180"/>
      <c r="L354" s="1180"/>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180"/>
      <c r="C355" s="1180"/>
      <c r="D355" s="1180"/>
      <c r="E355" s="310"/>
      <c r="F355" s="1180"/>
      <c r="G355" s="1180"/>
      <c r="H355" s="1180"/>
      <c r="I355" s="1180"/>
      <c r="J355" s="1180" t="s">
        <v>1026</v>
      </c>
      <c r="K355" s="1180"/>
      <c r="L355" s="1180"/>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180"/>
      <c r="C356" s="1180"/>
      <c r="D356" s="1180"/>
      <c r="E356" s="310"/>
      <c r="F356" s="1180"/>
      <c r="G356" s="1180"/>
      <c r="H356" s="1180"/>
      <c r="I356" s="1180"/>
      <c r="J356" s="1180" t="s">
        <v>1026</v>
      </c>
      <c r="K356" s="1180"/>
      <c r="L356" s="1180"/>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180"/>
      <c r="C357" s="1180"/>
      <c r="D357" s="1180"/>
      <c r="E357" s="310"/>
      <c r="F357" s="1180"/>
      <c r="G357" s="1180"/>
      <c r="H357" s="1180"/>
      <c r="I357" s="1180"/>
      <c r="J357" s="1180" t="s">
        <v>1026</v>
      </c>
      <c r="K357" s="1180"/>
      <c r="L357" s="1180"/>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180"/>
      <c r="C358" s="1180"/>
      <c r="D358" s="1180"/>
      <c r="E358" s="310"/>
      <c r="F358" s="1180"/>
      <c r="G358" s="1180"/>
      <c r="H358" s="1180"/>
      <c r="I358" s="1180"/>
      <c r="J358" s="1180" t="s">
        <v>1026</v>
      </c>
      <c r="K358" s="1180"/>
      <c r="L358" s="1180"/>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180"/>
      <c r="C359" s="1180"/>
      <c r="D359" s="1180"/>
      <c r="E359" s="310"/>
      <c r="F359" s="1180"/>
      <c r="G359" s="1180"/>
      <c r="H359" s="1180"/>
      <c r="I359" s="1180"/>
      <c r="J359" s="1180" t="s">
        <v>1026</v>
      </c>
      <c r="K359" s="1180"/>
      <c r="L359" s="1180"/>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180"/>
      <c r="C360" s="1180"/>
      <c r="D360" s="1180"/>
      <c r="E360" s="310"/>
      <c r="F360" s="1180"/>
      <c r="G360" s="1180"/>
      <c r="H360" s="1180"/>
      <c r="I360" s="1180"/>
      <c r="J360" s="1180" t="s">
        <v>1026</v>
      </c>
      <c r="K360" s="1180"/>
      <c r="L360" s="1180"/>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180"/>
      <c r="C361" s="1180"/>
      <c r="D361" s="1180"/>
      <c r="E361" s="310"/>
      <c r="F361" s="1180"/>
      <c r="G361" s="1180"/>
      <c r="H361" s="1180"/>
      <c r="I361" s="1180"/>
      <c r="J361" s="1180" t="s">
        <v>1026</v>
      </c>
      <c r="K361" s="1180"/>
      <c r="L361" s="1180"/>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180"/>
      <c r="C362" s="1180"/>
      <c r="D362" s="1180"/>
      <c r="E362" s="310"/>
      <c r="F362" s="1180"/>
      <c r="G362" s="1180"/>
      <c r="H362" s="1180"/>
      <c r="I362" s="1180"/>
      <c r="J362" s="1180" t="s">
        <v>1026</v>
      </c>
      <c r="K362" s="1180"/>
      <c r="L362" s="1180"/>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180"/>
      <c r="C363" s="1180"/>
      <c r="D363" s="1180"/>
      <c r="E363" s="310"/>
      <c r="F363" s="1180"/>
      <c r="G363" s="1180"/>
      <c r="H363" s="1180"/>
      <c r="I363" s="1180"/>
      <c r="J363" s="1180" t="s">
        <v>1026</v>
      </c>
      <c r="K363" s="1180"/>
      <c r="L363" s="1180"/>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180"/>
      <c r="C364" s="1180"/>
      <c r="D364" s="1180"/>
      <c r="E364" s="310"/>
      <c r="F364" s="1180"/>
      <c r="G364" s="1180"/>
      <c r="H364" s="1180"/>
      <c r="I364" s="1180"/>
      <c r="J364" s="1180" t="s">
        <v>1026</v>
      </c>
      <c r="K364" s="1180"/>
      <c r="L364" s="1180"/>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180"/>
      <c r="C365" s="1180"/>
      <c r="D365" s="1180"/>
      <c r="E365" s="310"/>
      <c r="F365" s="1180"/>
      <c r="G365" s="1180"/>
      <c r="H365" s="1180"/>
      <c r="I365" s="1180"/>
      <c r="J365" s="1180" t="s">
        <v>1026</v>
      </c>
      <c r="K365" s="1180"/>
      <c r="L365" s="1180"/>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180"/>
      <c r="C366" s="1180"/>
      <c r="D366" s="1180"/>
      <c r="E366" s="310"/>
      <c r="F366" s="1180"/>
      <c r="G366" s="1180"/>
      <c r="H366" s="1180"/>
      <c r="I366" s="1180"/>
      <c r="J366" s="1180" t="s">
        <v>1026</v>
      </c>
      <c r="K366" s="1180"/>
      <c r="L366" s="1180"/>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180"/>
      <c r="C367" s="1180"/>
      <c r="D367" s="1180"/>
      <c r="E367" s="310"/>
      <c r="F367" s="1180"/>
      <c r="G367" s="1180"/>
      <c r="H367" s="1180"/>
      <c r="I367" s="1180"/>
      <c r="J367" s="1180" t="s">
        <v>1026</v>
      </c>
      <c r="K367" s="1180"/>
      <c r="L367" s="1180"/>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180"/>
      <c r="C368" s="1180"/>
      <c r="D368" s="1180"/>
      <c r="E368" s="310"/>
      <c r="F368" s="1180"/>
      <c r="G368" s="1180"/>
      <c r="H368" s="1180"/>
      <c r="I368" s="1180"/>
      <c r="J368" s="1180" t="s">
        <v>1026</v>
      </c>
      <c r="K368" s="1180"/>
      <c r="L368" s="1180"/>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180"/>
      <c r="C369" s="1180"/>
      <c r="D369" s="1180"/>
      <c r="E369" s="310"/>
      <c r="F369" s="1180"/>
      <c r="G369" s="1180"/>
      <c r="H369" s="1180"/>
      <c r="I369" s="1180"/>
      <c r="J369" s="1180" t="s">
        <v>1026</v>
      </c>
      <c r="K369" s="1180"/>
      <c r="L369" s="1180"/>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180"/>
      <c r="C370" s="1180"/>
      <c r="D370" s="1180"/>
      <c r="E370" s="310"/>
      <c r="F370" s="1180"/>
      <c r="G370" s="1180"/>
      <c r="H370" s="1180"/>
      <c r="I370" s="1180"/>
      <c r="J370" s="1180" t="s">
        <v>1026</v>
      </c>
      <c r="K370" s="1180"/>
      <c r="L370" s="1180"/>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180"/>
      <c r="C371" s="1180"/>
      <c r="D371" s="1180"/>
      <c r="E371" s="310"/>
      <c r="F371" s="1180"/>
      <c r="G371" s="1180"/>
      <c r="H371" s="1180"/>
      <c r="I371" s="1180"/>
      <c r="J371" s="1180" t="s">
        <v>1026</v>
      </c>
      <c r="K371" s="1180"/>
      <c r="L371" s="1180"/>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180"/>
      <c r="C372" s="1180"/>
      <c r="D372" s="1180"/>
      <c r="E372" s="310"/>
      <c r="F372" s="1180"/>
      <c r="G372" s="1180"/>
      <c r="H372" s="1180"/>
      <c r="I372" s="1180"/>
      <c r="J372" s="1180" t="s">
        <v>1026</v>
      </c>
      <c r="K372" s="1180"/>
      <c r="L372" s="1180"/>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180"/>
      <c r="C373" s="1180"/>
      <c r="D373" s="1180"/>
      <c r="E373" s="310"/>
      <c r="F373" s="1180"/>
      <c r="G373" s="1180"/>
      <c r="H373" s="1180"/>
      <c r="I373" s="1180"/>
      <c r="J373" s="1180" t="s">
        <v>1026</v>
      </c>
      <c r="K373" s="1180"/>
      <c r="L373" s="1180"/>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180"/>
      <c r="C374" s="1180"/>
      <c r="D374" s="1180"/>
      <c r="E374" s="310"/>
      <c r="F374" s="1180"/>
      <c r="G374" s="1180"/>
      <c r="H374" s="1180"/>
      <c r="I374" s="1180"/>
      <c r="J374" s="1180" t="s">
        <v>1026</v>
      </c>
      <c r="K374" s="1180"/>
      <c r="L374" s="1180"/>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180"/>
      <c r="C375" s="1180"/>
      <c r="D375" s="1180"/>
      <c r="E375" s="310"/>
      <c r="F375" s="1180"/>
      <c r="G375" s="1180"/>
      <c r="H375" s="1180"/>
      <c r="I375" s="1180"/>
      <c r="J375" s="1180" t="s">
        <v>1026</v>
      </c>
      <c r="K375" s="1180"/>
      <c r="L375" s="1180"/>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180"/>
      <c r="C376" s="1180"/>
      <c r="D376" s="1180"/>
      <c r="E376" s="310"/>
      <c r="F376" s="1180"/>
      <c r="G376" s="1180"/>
      <c r="H376" s="1180"/>
      <c r="I376" s="1180"/>
      <c r="J376" s="1180" t="s">
        <v>1026</v>
      </c>
      <c r="K376" s="1180"/>
      <c r="L376" s="1180"/>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180"/>
      <c r="C377" s="1180"/>
      <c r="D377" s="1180"/>
      <c r="E377" s="310"/>
      <c r="F377" s="1180"/>
      <c r="G377" s="1180"/>
      <c r="H377" s="1180"/>
      <c r="I377" s="1180"/>
      <c r="J377" s="1180" t="s">
        <v>1026</v>
      </c>
      <c r="K377" s="1180"/>
      <c r="L377" s="1180"/>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180"/>
      <c r="C378" s="1180"/>
      <c r="D378" s="1180"/>
      <c r="E378" s="310"/>
      <c r="F378" s="1180"/>
      <c r="G378" s="1180"/>
      <c r="H378" s="1180"/>
      <c r="I378" s="1180"/>
      <c r="J378" s="1180" t="s">
        <v>1026</v>
      </c>
      <c r="K378" s="1180"/>
      <c r="L378" s="1180"/>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180"/>
      <c r="C379" s="1180"/>
      <c r="D379" s="1180"/>
      <c r="E379" s="310"/>
      <c r="F379" s="1180"/>
      <c r="G379" s="1180"/>
      <c r="H379" s="1180"/>
      <c r="I379" s="1180"/>
      <c r="J379" s="1180" t="s">
        <v>1026</v>
      </c>
      <c r="K379" s="1180"/>
      <c r="L379" s="1180"/>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180"/>
      <c r="C380" s="1180"/>
      <c r="D380" s="1180"/>
      <c r="E380" s="310"/>
      <c r="F380" s="1180"/>
      <c r="G380" s="1180"/>
      <c r="H380" s="1180"/>
      <c r="I380" s="1180"/>
      <c r="J380" s="1180" t="s">
        <v>1026</v>
      </c>
      <c r="K380" s="1180"/>
      <c r="L380" s="1180"/>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180"/>
      <c r="C381" s="1180"/>
      <c r="D381" s="1180"/>
      <c r="E381" s="310"/>
      <c r="F381" s="1180"/>
      <c r="G381" s="1180"/>
      <c r="H381" s="1180"/>
      <c r="I381" s="1180"/>
      <c r="J381" s="1180" t="s">
        <v>1026</v>
      </c>
      <c r="K381" s="1180"/>
      <c r="L381" s="1180"/>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180"/>
      <c r="C382" s="1180"/>
      <c r="D382" s="1180"/>
      <c r="E382" s="310"/>
      <c r="F382" s="1180"/>
      <c r="G382" s="1180"/>
      <c r="H382" s="1180"/>
      <c r="I382" s="1180"/>
      <c r="J382" s="1180" t="s">
        <v>1026</v>
      </c>
      <c r="K382" s="1180"/>
      <c r="L382" s="1180"/>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180"/>
      <c r="C383" s="1180"/>
      <c r="D383" s="1180"/>
      <c r="E383" s="310"/>
      <c r="F383" s="1180"/>
      <c r="G383" s="1180"/>
      <c r="H383" s="1180"/>
      <c r="I383" s="1180"/>
      <c r="J383" s="1180" t="s">
        <v>1026</v>
      </c>
      <c r="K383" s="1180"/>
      <c r="L383" s="1180"/>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180"/>
      <c r="C384" s="1180"/>
      <c r="D384" s="1180"/>
      <c r="E384" s="310"/>
      <c r="F384" s="1180"/>
      <c r="G384" s="1180"/>
      <c r="H384" s="1180"/>
      <c r="I384" s="1180"/>
      <c r="J384" s="1180" t="s">
        <v>1026</v>
      </c>
      <c r="K384" s="1180"/>
      <c r="L384" s="1180"/>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180"/>
      <c r="C385" s="1180"/>
      <c r="D385" s="1180"/>
      <c r="E385" s="310"/>
      <c r="F385" s="1180"/>
      <c r="G385" s="1180"/>
      <c r="H385" s="1180"/>
      <c r="I385" s="1180"/>
      <c r="J385" s="1180" t="s">
        <v>1026</v>
      </c>
      <c r="K385" s="1180"/>
      <c r="L385" s="1180"/>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180"/>
      <c r="C386" s="1180"/>
      <c r="D386" s="1180"/>
      <c r="E386" s="310"/>
      <c r="F386" s="1180"/>
      <c r="G386" s="1180"/>
      <c r="H386" s="1180"/>
      <c r="I386" s="1180"/>
      <c r="J386" s="1180" t="s">
        <v>1026</v>
      </c>
      <c r="K386" s="1180"/>
      <c r="L386" s="1180"/>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180"/>
      <c r="C387" s="1180"/>
      <c r="D387" s="1180"/>
      <c r="E387" s="310"/>
      <c r="F387" s="1180"/>
      <c r="G387" s="1180"/>
      <c r="H387" s="1180"/>
      <c r="I387" s="1180"/>
      <c r="J387" s="1180" t="s">
        <v>1026</v>
      </c>
      <c r="K387" s="1180"/>
      <c r="L387" s="1180"/>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180"/>
      <c r="C388" s="1180"/>
      <c r="D388" s="1180"/>
      <c r="E388" s="310"/>
      <c r="F388" s="1180"/>
      <c r="G388" s="1180"/>
      <c r="H388" s="1180"/>
      <c r="I388" s="1180"/>
      <c r="J388" s="1180" t="s">
        <v>1026</v>
      </c>
      <c r="K388" s="1180"/>
      <c r="L388" s="1180"/>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180"/>
      <c r="C389" s="1180"/>
      <c r="D389" s="1180"/>
      <c r="E389" s="310"/>
      <c r="F389" s="1180"/>
      <c r="G389" s="1180"/>
      <c r="H389" s="1180"/>
      <c r="I389" s="1180"/>
      <c r="J389" s="1180" t="s">
        <v>1026</v>
      </c>
      <c r="K389" s="1180"/>
      <c r="L389" s="1180"/>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180"/>
      <c r="C390" s="1180"/>
      <c r="D390" s="1180"/>
      <c r="E390" s="310"/>
      <c r="F390" s="1180"/>
      <c r="G390" s="1180"/>
      <c r="H390" s="1180"/>
      <c r="I390" s="1180"/>
      <c r="J390" s="1180" t="s">
        <v>1026</v>
      </c>
      <c r="K390" s="1180"/>
      <c r="L390" s="1180"/>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180"/>
      <c r="C391" s="1180"/>
      <c r="D391" s="1180"/>
      <c r="E391" s="310"/>
      <c r="F391" s="1180"/>
      <c r="G391" s="1180"/>
      <c r="H391" s="1180"/>
      <c r="I391" s="1180"/>
      <c r="J391" s="1180" t="s">
        <v>1026</v>
      </c>
      <c r="K391" s="1180"/>
      <c r="L391" s="1180"/>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180"/>
      <c r="C392" s="1180"/>
      <c r="D392" s="1180"/>
      <c r="E392" s="310"/>
      <c r="F392" s="1180"/>
      <c r="G392" s="1180"/>
      <c r="H392" s="1180"/>
      <c r="I392" s="1180"/>
      <c r="J392" s="1180" t="s">
        <v>1026</v>
      </c>
      <c r="K392" s="1180"/>
      <c r="L392" s="1180"/>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180"/>
      <c r="C393" s="1180"/>
      <c r="D393" s="1180"/>
      <c r="E393" s="310"/>
      <c r="F393" s="1180"/>
      <c r="G393" s="1180"/>
      <c r="H393" s="1180"/>
      <c r="I393" s="1180"/>
      <c r="J393" s="1180" t="s">
        <v>1026</v>
      </c>
      <c r="K393" s="1180"/>
      <c r="L393" s="1180"/>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180"/>
      <c r="C394" s="1180"/>
      <c r="D394" s="1180"/>
      <c r="E394" s="310"/>
      <c r="F394" s="1180"/>
      <c r="G394" s="1180"/>
      <c r="H394" s="1180"/>
      <c r="I394" s="1180"/>
      <c r="J394" s="1180" t="s">
        <v>1026</v>
      </c>
      <c r="K394" s="1180"/>
      <c r="L394" s="1180"/>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180"/>
      <c r="C395" s="1180"/>
      <c r="D395" s="1180"/>
      <c r="E395" s="310"/>
      <c r="F395" s="1180"/>
      <c r="G395" s="1180"/>
      <c r="H395" s="1180"/>
      <c r="I395" s="1180"/>
      <c r="J395" s="1180" t="s">
        <v>1026</v>
      </c>
      <c r="K395" s="1180"/>
      <c r="L395" s="1180"/>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180"/>
      <c r="C396" s="1180"/>
      <c r="D396" s="1180"/>
      <c r="E396" s="310"/>
      <c r="F396" s="1180"/>
      <c r="G396" s="1180"/>
      <c r="H396" s="1180"/>
      <c r="I396" s="1180"/>
      <c r="J396" s="1180" t="s">
        <v>1026</v>
      </c>
      <c r="K396" s="1180"/>
      <c r="L396" s="1180"/>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180"/>
      <c r="C397" s="1180"/>
      <c r="D397" s="1180"/>
      <c r="E397" s="310"/>
      <c r="F397" s="1180"/>
      <c r="G397" s="1180"/>
      <c r="H397" s="1180"/>
      <c r="I397" s="1180"/>
      <c r="J397" s="1180" t="s">
        <v>1026</v>
      </c>
      <c r="K397" s="1180"/>
      <c r="L397" s="1180"/>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180"/>
      <c r="C398" s="1180"/>
      <c r="D398" s="1180"/>
      <c r="E398" s="310"/>
      <c r="F398" s="1180"/>
      <c r="G398" s="1180"/>
      <c r="H398" s="1180"/>
      <c r="I398" s="1180"/>
      <c r="J398" s="1180" t="s">
        <v>1026</v>
      </c>
      <c r="K398" s="1180"/>
      <c r="L398" s="1180"/>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180"/>
      <c r="C399" s="1180"/>
      <c r="D399" s="1180"/>
      <c r="E399" s="310"/>
      <c r="F399" s="1180"/>
      <c r="G399" s="1180"/>
      <c r="H399" s="1180"/>
      <c r="I399" s="1180"/>
      <c r="J399" s="1180" t="s">
        <v>1026</v>
      </c>
      <c r="K399" s="1180"/>
      <c r="L399" s="1180"/>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180"/>
      <c r="C400" s="1180"/>
      <c r="D400" s="1180"/>
      <c r="E400" s="310"/>
      <c r="F400" s="1180"/>
      <c r="G400" s="1180"/>
      <c r="H400" s="1180"/>
      <c r="I400" s="1180"/>
      <c r="J400" s="1180" t="s">
        <v>1026</v>
      </c>
      <c r="K400" s="1180"/>
      <c r="L400" s="1180"/>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180"/>
      <c r="C401" s="1180"/>
      <c r="D401" s="1180"/>
      <c r="E401" s="310"/>
      <c r="F401" s="1180"/>
      <c r="G401" s="1180"/>
      <c r="H401" s="1180"/>
      <c r="I401" s="1180"/>
      <c r="J401" s="1180" t="s">
        <v>1026</v>
      </c>
      <c r="K401" s="1180"/>
      <c r="L401" s="1180"/>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180"/>
      <c r="C402" s="1180"/>
      <c r="D402" s="1180"/>
      <c r="E402" s="310"/>
      <c r="F402" s="1180"/>
      <c r="G402" s="1180"/>
      <c r="H402" s="1180"/>
      <c r="I402" s="1180"/>
      <c r="J402" s="1180" t="s">
        <v>1026</v>
      </c>
      <c r="K402" s="1180"/>
      <c r="L402" s="1180"/>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180"/>
      <c r="C403" s="1180"/>
      <c r="D403" s="1180"/>
      <c r="E403" s="310"/>
      <c r="F403" s="1180"/>
      <c r="G403" s="1180"/>
      <c r="H403" s="1180"/>
      <c r="I403" s="1180"/>
      <c r="J403" s="1180" t="s">
        <v>1026</v>
      </c>
      <c r="K403" s="1180"/>
      <c r="L403" s="1180"/>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180"/>
      <c r="C404" s="1180"/>
      <c r="D404" s="1180"/>
      <c r="E404" s="310"/>
      <c r="F404" s="1180"/>
      <c r="G404" s="1180"/>
      <c r="H404" s="1180"/>
      <c r="I404" s="1180"/>
      <c r="J404" s="1180" t="s">
        <v>1026</v>
      </c>
      <c r="K404" s="1180"/>
      <c r="L404" s="1180"/>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180"/>
      <c r="C405" s="1180"/>
      <c r="D405" s="1180"/>
      <c r="E405" s="310"/>
      <c r="F405" s="1180"/>
      <c r="G405" s="1180"/>
      <c r="H405" s="1180"/>
      <c r="I405" s="1180"/>
      <c r="J405" s="1180" t="s">
        <v>1026</v>
      </c>
      <c r="K405" s="1180"/>
      <c r="L405" s="1180"/>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180"/>
      <c r="C406" s="1180"/>
      <c r="D406" s="1180"/>
      <c r="E406" s="310"/>
      <c r="F406" s="1180"/>
      <c r="G406" s="1180"/>
      <c r="H406" s="1180"/>
      <c r="I406" s="1180"/>
      <c r="J406" s="1180" t="s">
        <v>1026</v>
      </c>
      <c r="K406" s="1180"/>
      <c r="L406" s="1180"/>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180"/>
      <c r="C407" s="1180"/>
      <c r="D407" s="1180"/>
      <c r="E407" s="310"/>
      <c r="F407" s="1180"/>
      <c r="G407" s="1180"/>
      <c r="H407" s="1180"/>
      <c r="I407" s="1180"/>
      <c r="J407" s="1180" t="s">
        <v>1026</v>
      </c>
      <c r="K407" s="1180"/>
      <c r="L407" s="1180"/>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180"/>
      <c r="C408" s="1180"/>
      <c r="D408" s="1180"/>
      <c r="E408" s="310"/>
      <c r="F408" s="1180"/>
      <c r="G408" s="1180"/>
      <c r="H408" s="1180"/>
      <c r="I408" s="1180"/>
      <c r="J408" s="1180" t="s">
        <v>1026</v>
      </c>
      <c r="K408" s="1180"/>
      <c r="L408" s="1180"/>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180"/>
      <c r="C409" s="1180"/>
      <c r="D409" s="1180"/>
      <c r="E409" s="310"/>
      <c r="F409" s="1180"/>
      <c r="G409" s="1180"/>
      <c r="H409" s="1180"/>
      <c r="I409" s="1180"/>
      <c r="J409" s="1180" t="s">
        <v>1026</v>
      </c>
      <c r="K409" s="1180"/>
      <c r="L409" s="1180"/>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180"/>
      <c r="C410" s="1180"/>
      <c r="D410" s="1180"/>
      <c r="E410" s="310"/>
      <c r="F410" s="1180"/>
      <c r="G410" s="1180"/>
      <c r="H410" s="1180"/>
      <c r="I410" s="1180"/>
      <c r="J410" s="1180" t="s">
        <v>1026</v>
      </c>
      <c r="K410" s="1180"/>
      <c r="L410" s="1180"/>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180"/>
      <c r="C411" s="1180"/>
      <c r="D411" s="1180"/>
      <c r="E411" s="310"/>
      <c r="F411" s="1180"/>
      <c r="G411" s="1180"/>
      <c r="H411" s="1180"/>
      <c r="I411" s="1180"/>
      <c r="J411" s="1180" t="s">
        <v>1026</v>
      </c>
      <c r="K411" s="1180"/>
      <c r="L411" s="1180"/>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180"/>
      <c r="C412" s="1180"/>
      <c r="D412" s="1180"/>
      <c r="E412" s="310"/>
      <c r="F412" s="1180"/>
      <c r="G412" s="1180"/>
      <c r="H412" s="1180"/>
      <c r="I412" s="1180"/>
      <c r="J412" s="1180" t="s">
        <v>1026</v>
      </c>
      <c r="K412" s="1180"/>
      <c r="L412" s="1180"/>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180"/>
      <c r="C413" s="1180"/>
      <c r="D413" s="1180"/>
      <c r="E413" s="310"/>
      <c r="F413" s="1180"/>
      <c r="G413" s="1180"/>
      <c r="H413" s="1180"/>
      <c r="I413" s="1180"/>
      <c r="J413" s="1180" t="s">
        <v>1026</v>
      </c>
      <c r="K413" s="1180"/>
      <c r="L413" s="1180"/>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180"/>
      <c r="C414" s="1180"/>
      <c r="D414" s="1180"/>
      <c r="E414" s="310"/>
      <c r="F414" s="1180"/>
      <c r="G414" s="1180"/>
      <c r="H414" s="1180"/>
      <c r="I414" s="1180"/>
      <c r="J414" s="1180" t="s">
        <v>1026</v>
      </c>
      <c r="K414" s="1180"/>
      <c r="L414" s="1180"/>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180"/>
      <c r="C415" s="1180"/>
      <c r="D415" s="1180"/>
      <c r="E415" s="310"/>
      <c r="F415" s="1180"/>
      <c r="G415" s="1180"/>
      <c r="H415" s="1180"/>
      <c r="I415" s="1180"/>
      <c r="J415" s="1180" t="s">
        <v>1026</v>
      </c>
      <c r="K415" s="1180"/>
      <c r="L415" s="1180"/>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180"/>
      <c r="C416" s="1180"/>
      <c r="D416" s="1180"/>
      <c r="E416" s="310"/>
      <c r="F416" s="1180"/>
      <c r="G416" s="1180"/>
      <c r="H416" s="1180"/>
      <c r="I416" s="1180"/>
      <c r="J416" s="1180" t="s">
        <v>1026</v>
      </c>
      <c r="K416" s="1180"/>
      <c r="L416" s="1180"/>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180"/>
      <c r="C417" s="1180"/>
      <c r="D417" s="1180"/>
      <c r="E417" s="310"/>
      <c r="F417" s="1180"/>
      <c r="G417" s="1180"/>
      <c r="H417" s="1180"/>
      <c r="I417" s="1180"/>
      <c r="J417" s="1180" t="s">
        <v>1026</v>
      </c>
      <c r="K417" s="1180"/>
      <c r="L417" s="1180"/>
      <c r="AC417" s="1253"/>
    </row>
    <row r="418">
      <c r="B418" s="1180"/>
      <c r="C418" s="1180"/>
      <c r="D418" s="1180"/>
      <c r="E418" s="310"/>
      <c r="F418" s="1180"/>
      <c r="G418" s="1180"/>
      <c r="H418" s="1180"/>
      <c r="I418" s="1180"/>
      <c r="J418" s="1180" t="s">
        <v>1026</v>
      </c>
      <c r="K418" s="1180"/>
      <c r="L418" s="1180"/>
      <c r="AC418" s="1253"/>
    </row>
    <row r="419">
      <c r="B419" s="1180"/>
      <c r="C419" s="1180"/>
      <c r="D419" s="1180"/>
      <c r="E419" s="310"/>
      <c r="F419" s="1180"/>
      <c r="G419" s="1180"/>
      <c r="H419" s="1180"/>
      <c r="I419" s="1180"/>
      <c r="J419" s="1180" t="s">
        <v>1026</v>
      </c>
      <c r="K419" s="1180"/>
      <c r="L419" s="1180"/>
      <c r="AC419" s="1253"/>
    </row>
    <row r="420">
      <c r="B420" s="1180"/>
      <c r="C420" s="1180"/>
      <c r="D420" s="1180"/>
      <c r="E420" s="310"/>
      <c r="F420" s="1180"/>
      <c r="G420" s="1180"/>
      <c r="H420" s="1180"/>
      <c r="I420" s="1180"/>
      <c r="J420" s="1180" t="s">
        <v>1026</v>
      </c>
      <c r="K420" s="1180"/>
      <c r="L420" s="1180"/>
      <c r="AC420" s="1253"/>
    </row>
    <row r="421">
      <c r="B421" s="1180"/>
      <c r="C421" s="1180"/>
      <c r="D421" s="1180"/>
      <c r="E421" s="310"/>
      <c r="F421" s="1180"/>
      <c r="G421" s="1180"/>
      <c r="H421" s="1180"/>
      <c r="I421" s="1180"/>
      <c r="J421" s="1180" t="s">
        <v>1026</v>
      </c>
      <c r="K421" s="1180"/>
      <c r="L421" s="1180"/>
      <c r="AC421" s="1253"/>
    </row>
    <row r="422">
      <c r="B422" s="1180"/>
      <c r="C422" s="1180"/>
      <c r="D422" s="1180"/>
      <c r="E422" s="310"/>
      <c r="F422" s="1180"/>
      <c r="G422" s="1180"/>
      <c r="H422" s="1180"/>
      <c r="I422" s="1180"/>
      <c r="J422" s="1180" t="s">
        <v>1026</v>
      </c>
      <c r="K422" s="1180"/>
      <c r="L422" s="1180"/>
      <c r="AC422" s="1253"/>
    </row>
    <row r="423">
      <c r="B423" s="1180"/>
      <c r="C423" s="1180"/>
      <c r="D423" s="1180"/>
      <c r="E423" s="310"/>
      <c r="F423" s="1180"/>
      <c r="G423" s="1180"/>
      <c r="H423" s="1180"/>
      <c r="I423" s="1180"/>
      <c r="J423" s="1180" t="s">
        <v>1026</v>
      </c>
      <c r="K423" s="1180"/>
      <c r="L423" s="1180"/>
      <c r="AC423" s="1253"/>
    </row>
    <row r="424">
      <c r="B424" s="1180"/>
      <c r="C424" s="1180"/>
      <c r="D424" s="1180"/>
      <c r="E424" s="310"/>
      <c r="F424" s="1180"/>
      <c r="G424" s="1180"/>
      <c r="H424" s="1180"/>
      <c r="I424" s="1180"/>
      <c r="J424" s="1180" t="s">
        <v>1026</v>
      </c>
      <c r="K424" s="1180"/>
      <c r="L424" s="1180"/>
      <c r="AC424" s="1253"/>
    </row>
    <row r="425">
      <c r="B425" s="1180"/>
      <c r="C425" s="1180"/>
      <c r="D425" s="1180"/>
      <c r="E425" s="310"/>
      <c r="F425" s="1180"/>
      <c r="G425" s="1180"/>
      <c r="H425" s="1180"/>
      <c r="I425" s="1180"/>
      <c r="J425" s="1180" t="s">
        <v>1026</v>
      </c>
      <c r="K425" s="1180"/>
      <c r="L425" s="1180"/>
      <c r="AC425" s="1253"/>
    </row>
    <row r="426">
      <c r="B426" s="1180"/>
      <c r="C426" s="1180"/>
      <c r="D426" s="1180"/>
      <c r="E426" s="310"/>
      <c r="F426" s="1180"/>
      <c r="G426" s="1180"/>
      <c r="H426" s="1180"/>
      <c r="I426" s="1180"/>
      <c r="J426" s="1180" t="s">
        <v>1026</v>
      </c>
      <c r="K426" s="1180"/>
      <c r="L426" s="1180"/>
      <c r="AC426" s="1253"/>
    </row>
    <row r="427">
      <c r="B427" s="1180"/>
      <c r="C427" s="1180"/>
      <c r="D427" s="1180"/>
      <c r="E427" s="310"/>
      <c r="F427" s="1180"/>
      <c r="G427" s="1180"/>
      <c r="H427" s="1180"/>
      <c r="I427" s="1180"/>
      <c r="J427" s="1180" t="s">
        <v>1026</v>
      </c>
      <c r="K427" s="1180"/>
      <c r="L427" s="1180"/>
      <c r="AC427" s="1253"/>
    </row>
    <row r="428">
      <c r="B428" s="1180"/>
      <c r="C428" s="1180"/>
      <c r="D428" s="1180"/>
      <c r="E428" s="310"/>
      <c r="F428" s="1180"/>
      <c r="G428" s="1180"/>
      <c r="H428" s="1180"/>
      <c r="I428" s="1180"/>
      <c r="J428" s="1180" t="s">
        <v>1026</v>
      </c>
      <c r="K428" s="1180"/>
      <c r="L428" s="1180"/>
      <c r="AC428" s="1253"/>
    </row>
    <row r="429">
      <c r="B429" s="1180"/>
      <c r="C429" s="1180"/>
      <c r="D429" s="1180"/>
      <c r="E429" s="310"/>
      <c r="F429" s="1180"/>
      <c r="G429" s="1180"/>
      <c r="H429" s="1180"/>
      <c r="I429" s="1180"/>
      <c r="J429" s="1180" t="s">
        <v>1026</v>
      </c>
      <c r="K429" s="1180"/>
      <c r="L429" s="1180"/>
      <c r="AC429" s="1253"/>
    </row>
    <row r="430">
      <c r="B430" s="1180"/>
      <c r="C430" s="1180"/>
      <c r="D430" s="1180"/>
      <c r="E430" s="310"/>
      <c r="F430" s="1180"/>
      <c r="G430" s="1180"/>
      <c r="H430" s="1180"/>
      <c r="I430" s="1180"/>
      <c r="J430" s="1180" t="s">
        <v>1026</v>
      </c>
      <c r="K430" s="1180"/>
      <c r="L430" s="1180"/>
      <c r="AC430" s="1253"/>
    </row>
    <row r="431">
      <c r="B431" s="1180"/>
      <c r="C431" s="1180"/>
      <c r="D431" s="1180"/>
      <c r="E431" s="310"/>
      <c r="F431" s="1180"/>
      <c r="G431" s="1180"/>
      <c r="H431" s="1180"/>
      <c r="I431" s="1180"/>
      <c r="J431" s="1180" t="s">
        <v>1026</v>
      </c>
      <c r="K431" s="1180"/>
      <c r="L431" s="1180"/>
      <c r="AC431" s="1253"/>
    </row>
    <row r="432">
      <c r="B432" s="1180"/>
      <c r="C432" s="1180"/>
      <c r="D432" s="1180"/>
      <c r="E432" s="310"/>
      <c r="F432" s="1180"/>
      <c r="G432" s="1180"/>
      <c r="H432" s="1180"/>
      <c r="I432" s="1180"/>
      <c r="J432" s="1180" t="s">
        <v>1026</v>
      </c>
      <c r="K432" s="1180"/>
      <c r="L432" s="1180"/>
      <c r="AC432" s="1253"/>
    </row>
    <row r="433">
      <c r="B433" s="1180"/>
      <c r="C433" s="1180"/>
      <c r="D433" s="1180"/>
      <c r="E433" s="310"/>
      <c r="F433" s="1180"/>
      <c r="G433" s="1180"/>
      <c r="H433" s="1180"/>
      <c r="I433" s="1180"/>
      <c r="J433" s="1180" t="s">
        <v>1026</v>
      </c>
      <c r="K433" s="1180"/>
      <c r="L433" s="1180"/>
      <c r="AC433" s="1253"/>
    </row>
    <row r="434">
      <c r="B434" s="1180"/>
      <c r="C434" s="1180"/>
      <c r="D434" s="1180"/>
      <c r="E434" s="310"/>
      <c r="F434" s="1180"/>
      <c r="G434" s="1180"/>
      <c r="H434" s="1180"/>
      <c r="I434" s="1180"/>
      <c r="J434" s="1180" t="s">
        <v>1026</v>
      </c>
      <c r="K434" s="1180"/>
      <c r="L434" s="1180"/>
      <c r="AC434" s="1253"/>
    </row>
    <row r="435">
      <c r="B435" s="1180"/>
      <c r="C435" s="1180"/>
      <c r="D435" s="1180"/>
      <c r="E435" s="310"/>
      <c r="F435" s="1180"/>
      <c r="G435" s="1180"/>
      <c r="H435" s="1180"/>
      <c r="I435" s="1180"/>
      <c r="J435" s="1180" t="s">
        <v>1026</v>
      </c>
      <c r="K435" s="1180"/>
      <c r="L435" s="1180"/>
      <c r="AC435" s="1253"/>
    </row>
    <row r="436">
      <c r="B436" s="1180"/>
      <c r="C436" s="1180"/>
      <c r="D436" s="1180"/>
      <c r="E436" s="310"/>
      <c r="F436" s="1180"/>
      <c r="G436" s="1180"/>
      <c r="H436" s="1180"/>
      <c r="I436" s="1180"/>
      <c r="J436" s="1180" t="s">
        <v>1026</v>
      </c>
      <c r="K436" s="1180"/>
      <c r="L436" s="1180"/>
      <c r="AC436" s="1253"/>
    </row>
    <row r="437">
      <c r="B437" s="1180"/>
      <c r="C437" s="1180"/>
      <c r="D437" s="1180"/>
      <c r="E437" s="310"/>
      <c r="F437" s="1180"/>
      <c r="G437" s="1180"/>
      <c r="H437" s="1180"/>
      <c r="I437" s="1180"/>
      <c r="J437" s="1180" t="s">
        <v>1026</v>
      </c>
      <c r="K437" s="1180"/>
      <c r="L437" s="1180"/>
      <c r="AC437" s="1253"/>
    </row>
    <row r="438">
      <c r="B438" s="1180"/>
      <c r="C438" s="1180"/>
      <c r="D438" s="1180"/>
      <c r="E438" s="310"/>
      <c r="F438" s="1180"/>
      <c r="G438" s="1180"/>
      <c r="H438" s="1180"/>
      <c r="I438" s="1180"/>
      <c r="J438" s="1180" t="s">
        <v>1026</v>
      </c>
      <c r="K438" s="1180"/>
      <c r="L438" s="1180"/>
      <c r="AC438" s="1253"/>
    </row>
    <row r="439">
      <c r="B439" s="1180"/>
      <c r="C439" s="1180"/>
      <c r="D439" s="1180"/>
      <c r="E439" s="310"/>
      <c r="F439" s="1180"/>
      <c r="G439" s="1180"/>
      <c r="H439" s="1180"/>
      <c r="I439" s="1180"/>
      <c r="J439" s="1180" t="s">
        <v>1026</v>
      </c>
      <c r="K439" s="1180"/>
      <c r="L439" s="1180"/>
      <c r="AC439" s="1253"/>
    </row>
    <row r="440">
      <c r="B440" s="1180"/>
      <c r="C440" s="1180"/>
      <c r="D440" s="1180"/>
      <c r="E440" s="310"/>
      <c r="F440" s="1180"/>
      <c r="G440" s="1180"/>
      <c r="H440" s="1180"/>
      <c r="I440" s="1180"/>
      <c r="J440" s="1180" t="s">
        <v>1026</v>
      </c>
      <c r="K440" s="1180"/>
      <c r="L440" s="1180"/>
      <c r="AC440" s="1253"/>
    </row>
    <row r="441">
      <c r="B441" s="1180"/>
      <c r="C441" s="1180"/>
      <c r="D441" s="1180"/>
      <c r="E441" s="310"/>
      <c r="F441" s="1180"/>
      <c r="G441" s="1180"/>
      <c r="H441" s="1180"/>
      <c r="I441" s="1180"/>
      <c r="J441" s="1180" t="s">
        <v>1026</v>
      </c>
      <c r="K441" s="1180"/>
      <c r="L441" s="1180"/>
      <c r="AC441" s="1253"/>
    </row>
    <row r="442">
      <c r="B442" s="1180"/>
      <c r="C442" s="1180"/>
      <c r="D442" s="1180"/>
      <c r="E442" s="310"/>
      <c r="F442" s="1180"/>
      <c r="G442" s="1180"/>
      <c r="H442" s="1180"/>
      <c r="I442" s="1180"/>
      <c r="J442" s="1180" t="s">
        <v>1026</v>
      </c>
      <c r="K442" s="1180"/>
      <c r="L442" s="1180"/>
      <c r="AC442" s="1253"/>
    </row>
    <row r="443">
      <c r="B443" s="1180"/>
      <c r="C443" s="1180"/>
      <c r="D443" s="1180"/>
      <c r="E443" s="310"/>
      <c r="F443" s="1180"/>
      <c r="G443" s="1180"/>
      <c r="H443" s="1180"/>
      <c r="I443" s="1180"/>
      <c r="J443" s="1180" t="s">
        <v>1026</v>
      </c>
      <c r="K443" s="1180"/>
      <c r="L443" s="1180"/>
      <c r="AC443" s="1253"/>
    </row>
    <row r="444">
      <c r="B444" s="1180"/>
      <c r="C444" s="1180"/>
      <c r="D444" s="1180"/>
      <c r="E444" s="310"/>
      <c r="F444" s="1180"/>
      <c r="G444" s="1180"/>
      <c r="H444" s="1180"/>
      <c r="I444" s="1180"/>
      <c r="J444" s="1180" t="s">
        <v>1026</v>
      </c>
      <c r="K444" s="1180"/>
      <c r="L444" s="1180"/>
      <c r="AC444" s="1253"/>
    </row>
    <row r="445">
      <c r="B445" s="1180"/>
      <c r="C445" s="1180"/>
      <c r="D445" s="1180"/>
      <c r="E445" s="310"/>
      <c r="F445" s="1180"/>
      <c r="G445" s="1180"/>
      <c r="H445" s="1180"/>
      <c r="I445" s="1180"/>
      <c r="J445" s="1180" t="s">
        <v>1026</v>
      </c>
      <c r="K445" s="1180"/>
      <c r="L445" s="1180"/>
      <c r="AC445" s="1253"/>
    </row>
    <row r="446">
      <c r="B446" s="1180"/>
      <c r="C446" s="1180"/>
      <c r="D446" s="1180"/>
      <c r="E446" s="310"/>
      <c r="F446" s="1180"/>
      <c r="G446" s="1180"/>
      <c r="H446" s="1180"/>
      <c r="I446" s="1180"/>
      <c r="J446" s="1180" t="s">
        <v>1026</v>
      </c>
      <c r="K446" s="1180"/>
      <c r="L446" s="1180"/>
      <c r="AC446" s="1253"/>
    </row>
    <row r="447">
      <c r="B447" s="1180"/>
      <c r="C447" s="1180"/>
      <c r="D447" s="1180"/>
      <c r="E447" s="310"/>
      <c r="F447" s="1180"/>
      <c r="G447" s="1180"/>
      <c r="H447" s="1180"/>
      <c r="I447" s="1180"/>
      <c r="J447" s="1180" t="s">
        <v>1026</v>
      </c>
      <c r="K447" s="1180"/>
      <c r="L447" s="1180"/>
      <c r="AC447" s="1253"/>
    </row>
    <row r="448">
      <c r="B448" s="1180"/>
      <c r="C448" s="1180"/>
      <c r="D448" s="1180"/>
      <c r="E448" s="310"/>
      <c r="F448" s="1180"/>
      <c r="G448" s="1180"/>
      <c r="H448" s="1180"/>
      <c r="I448" s="1180"/>
      <c r="J448" s="1180" t="s">
        <v>1026</v>
      </c>
      <c r="K448" s="1180"/>
      <c r="L448" s="1180"/>
      <c r="AC448" s="1253"/>
    </row>
    <row r="449">
      <c r="B449" s="1180"/>
      <c r="C449" s="1180"/>
      <c r="D449" s="1180"/>
      <c r="E449" s="310"/>
      <c r="F449" s="1180"/>
      <c r="G449" s="1180"/>
      <c r="H449" s="1180"/>
      <c r="I449" s="1180"/>
      <c r="J449" s="1180" t="s">
        <v>1026</v>
      </c>
      <c r="K449" s="1180"/>
      <c r="L449" s="1180"/>
      <c r="AC449" s="1253"/>
    </row>
    <row r="450">
      <c r="B450" s="1180"/>
      <c r="C450" s="1180"/>
      <c r="D450" s="1180"/>
      <c r="E450" s="310"/>
      <c r="F450" s="1180"/>
      <c r="G450" s="1180"/>
      <c r="H450" s="1180"/>
      <c r="I450" s="1180"/>
      <c r="J450" s="1180" t="s">
        <v>1026</v>
      </c>
      <c r="K450" s="1180"/>
      <c r="L450" s="1180"/>
      <c r="AC450" s="1253"/>
    </row>
    <row r="451">
      <c r="B451" s="1180"/>
      <c r="C451" s="1180"/>
      <c r="D451" s="1180"/>
      <c r="E451" s="310"/>
      <c r="F451" s="1180"/>
      <c r="G451" s="1180"/>
      <c r="H451" s="1180"/>
      <c r="I451" s="1180"/>
      <c r="J451" s="1180" t="s">
        <v>1026</v>
      </c>
      <c r="K451" s="1180"/>
      <c r="L451" s="1180"/>
      <c r="AC451" s="1253"/>
    </row>
    <row r="452">
      <c r="B452" s="1180"/>
      <c r="C452" s="1180"/>
      <c r="D452" s="1180"/>
      <c r="E452" s="310"/>
      <c r="F452" s="1180"/>
      <c r="G452" s="1180"/>
      <c r="H452" s="1180"/>
      <c r="I452" s="1180"/>
      <c r="J452" s="1180" t="s">
        <v>1026</v>
      </c>
      <c r="K452" s="1180"/>
      <c r="L452" s="1180"/>
      <c r="AC452" s="1253"/>
    </row>
    <row r="453">
      <c r="B453" s="1180"/>
      <c r="C453" s="1180"/>
      <c r="D453" s="1180"/>
      <c r="E453" s="310"/>
      <c r="F453" s="1180"/>
      <c r="G453" s="1180"/>
      <c r="H453" s="1180"/>
      <c r="I453" s="1180"/>
      <c r="J453" s="1180" t="s">
        <v>1026</v>
      </c>
      <c r="K453" s="1180"/>
      <c r="L453" s="1180"/>
      <c r="AC453" s="1253"/>
    </row>
    <row r="454">
      <c r="B454" s="1180"/>
      <c r="C454" s="1180"/>
      <c r="D454" s="1180"/>
      <c r="E454" s="310"/>
      <c r="F454" s="1180"/>
      <c r="G454" s="1180"/>
      <c r="H454" s="1180"/>
      <c r="I454" s="1180"/>
      <c r="J454" s="1180" t="s">
        <v>1026</v>
      </c>
      <c r="K454" s="1180"/>
      <c r="L454" s="1180"/>
      <c r="AC454" s="1253"/>
    </row>
    <row r="455">
      <c r="B455" s="1180"/>
      <c r="C455" s="1180"/>
      <c r="D455" s="1180"/>
      <c r="E455" s="310"/>
      <c r="F455" s="1180"/>
      <c r="G455" s="1180"/>
      <c r="H455" s="1180"/>
      <c r="I455" s="1180"/>
      <c r="J455" s="1180" t="s">
        <v>1026</v>
      </c>
      <c r="K455" s="1180"/>
      <c r="L455" s="1180"/>
      <c r="AC455" s="1253"/>
    </row>
    <row r="456">
      <c r="B456" s="1180"/>
      <c r="C456" s="1180"/>
      <c r="D456" s="1180"/>
      <c r="E456" s="310"/>
      <c r="F456" s="1180"/>
      <c r="G456" s="1180"/>
      <c r="H456" s="1180"/>
      <c r="I456" s="1180"/>
      <c r="J456" s="1180" t="s">
        <v>1026</v>
      </c>
      <c r="K456" s="1180"/>
      <c r="L456" s="1180"/>
      <c r="AC456" s="1253"/>
    </row>
    <row r="457">
      <c r="B457" s="1180"/>
      <c r="C457" s="1180"/>
      <c r="D457" s="1180"/>
      <c r="E457" s="310"/>
      <c r="F457" s="1180"/>
      <c r="G457" s="1180"/>
      <c r="H457" s="1180"/>
      <c r="I457" s="1180"/>
      <c r="J457" s="1180" t="s">
        <v>1026</v>
      </c>
      <c r="K457" s="1180"/>
      <c r="L457" s="1180"/>
      <c r="AC457" s="1253"/>
    </row>
    <row r="458">
      <c r="B458" s="1180"/>
      <c r="C458" s="1180"/>
      <c r="D458" s="1180"/>
      <c r="E458" s="310"/>
      <c r="F458" s="1180"/>
      <c r="G458" s="1180"/>
      <c r="H458" s="1180"/>
      <c r="I458" s="1180"/>
      <c r="J458" s="1180" t="s">
        <v>1026</v>
      </c>
      <c r="K458" s="1180"/>
      <c r="L458" s="1180"/>
      <c r="AC458" s="1253"/>
    </row>
    <row r="459">
      <c r="B459" s="1180"/>
      <c r="C459" s="1180"/>
      <c r="D459" s="1180"/>
      <c r="E459" s="310"/>
      <c r="F459" s="1180"/>
      <c r="G459" s="1180"/>
      <c r="H459" s="1180"/>
      <c r="I459" s="1180"/>
      <c r="J459" s="1180" t="s">
        <v>1026</v>
      </c>
      <c r="K459" s="1180"/>
      <c r="L459" s="1180"/>
      <c r="AC459" s="1253"/>
    </row>
    <row r="460">
      <c r="B460" s="1180"/>
      <c r="C460" s="1180"/>
      <c r="D460" s="1180"/>
      <c r="E460" s="310"/>
      <c r="F460" s="1180"/>
      <c r="G460" s="1180"/>
      <c r="H460" s="1180"/>
      <c r="I460" s="1180"/>
      <c r="J460" s="1180" t="s">
        <v>1026</v>
      </c>
      <c r="K460" s="1180"/>
      <c r="L460" s="1180"/>
      <c r="AC460" s="1253"/>
    </row>
    <row r="461">
      <c r="B461" s="1180"/>
      <c r="C461" s="1180"/>
      <c r="D461" s="1180"/>
      <c r="E461" s="310"/>
      <c r="F461" s="1180"/>
      <c r="G461" s="1180"/>
      <c r="H461" s="1180"/>
      <c r="I461" s="1180"/>
      <c r="J461" s="1180" t="s">
        <v>1026</v>
      </c>
      <c r="K461" s="1180"/>
      <c r="L461" s="1180"/>
      <c r="AC461" s="1253"/>
    </row>
    <row r="462">
      <c r="B462" s="1180"/>
      <c r="C462" s="1180"/>
      <c r="D462" s="1180"/>
      <c r="E462" s="310"/>
      <c r="F462" s="1180"/>
      <c r="G462" s="1180"/>
      <c r="H462" s="1180"/>
      <c r="I462" s="1180"/>
      <c r="J462" s="1180" t="s">
        <v>1026</v>
      </c>
      <c r="K462" s="1180"/>
      <c r="L462" s="1180"/>
      <c r="AC462" s="1253"/>
    </row>
    <row r="463">
      <c r="B463" s="1180"/>
      <c r="C463" s="1180"/>
      <c r="D463" s="1180"/>
      <c r="E463" s="310"/>
      <c r="F463" s="1180"/>
      <c r="G463" s="1180"/>
      <c r="H463" s="1180"/>
      <c r="I463" s="1180"/>
      <c r="J463" s="1180" t="s">
        <v>1026</v>
      </c>
      <c r="K463" s="1180"/>
      <c r="L463" s="1180"/>
      <c r="AC463" s="1253"/>
    </row>
    <row r="464">
      <c r="B464" s="1180"/>
      <c r="C464" s="1180"/>
      <c r="D464" s="1180"/>
      <c r="E464" s="310"/>
      <c r="F464" s="1180"/>
      <c r="G464" s="1180"/>
      <c r="H464" s="1180"/>
      <c r="I464" s="1180"/>
      <c r="J464" s="1180" t="s">
        <v>1026</v>
      </c>
      <c r="K464" s="1180"/>
      <c r="L464" s="1180"/>
      <c r="AC464" s="1253"/>
    </row>
    <row r="465">
      <c r="B465" s="1180"/>
      <c r="C465" s="1180"/>
      <c r="D465" s="1180"/>
      <c r="E465" s="310"/>
      <c r="F465" s="1180"/>
      <c r="G465" s="1180"/>
      <c r="H465" s="1180"/>
      <c r="I465" s="1180"/>
      <c r="J465" s="1180" t="s">
        <v>1026</v>
      </c>
      <c r="K465" s="1180"/>
      <c r="L465" s="1180"/>
      <c r="AC465" s="1253"/>
    </row>
    <row r="466">
      <c r="B466" s="1180"/>
      <c r="C466" s="1180"/>
      <c r="D466" s="1180"/>
      <c r="E466" s="310"/>
      <c r="F466" s="1180"/>
      <c r="G466" s="1180"/>
      <c r="H466" s="1180"/>
      <c r="I466" s="1180"/>
      <c r="J466" s="1180" t="s">
        <v>1026</v>
      </c>
      <c r="K466" s="1180"/>
      <c r="L466" s="1180"/>
      <c r="AC466" s="1253"/>
    </row>
    <row r="467">
      <c r="B467" s="1180"/>
      <c r="C467" s="1180"/>
      <c r="D467" s="1180"/>
      <c r="E467" s="310"/>
      <c r="F467" s="1180"/>
      <c r="G467" s="1180"/>
      <c r="H467" s="1180"/>
      <c r="I467" s="1180"/>
      <c r="J467" s="1180" t="s">
        <v>1026</v>
      </c>
      <c r="K467" s="1180"/>
      <c r="L467" s="1180"/>
      <c r="AC467" s="1253"/>
    </row>
    <row r="468">
      <c r="B468" s="1180"/>
      <c r="C468" s="1180"/>
      <c r="D468" s="1180"/>
      <c r="E468" s="310"/>
      <c r="F468" s="1180"/>
      <c r="G468" s="1180"/>
      <c r="H468" s="1180"/>
      <c r="I468" s="1180"/>
      <c r="J468" s="1180" t="s">
        <v>1026</v>
      </c>
      <c r="K468" s="1180"/>
      <c r="L468" s="1180"/>
      <c r="AC468" s="1253"/>
    </row>
    <row r="469">
      <c r="B469" s="1180"/>
      <c r="C469" s="1180"/>
      <c r="D469" s="1180"/>
      <c r="E469" s="310"/>
      <c r="F469" s="1180"/>
      <c r="G469" s="1180"/>
      <c r="H469" s="1180"/>
      <c r="I469" s="1180"/>
      <c r="J469" s="1180" t="s">
        <v>1026</v>
      </c>
      <c r="K469" s="1180"/>
      <c r="L469" s="1180"/>
      <c r="AC469" s="1253"/>
    </row>
    <row r="470">
      <c r="B470" s="1180"/>
      <c r="C470" s="1180"/>
      <c r="D470" s="1180"/>
      <c r="E470" s="310"/>
      <c r="F470" s="1180"/>
      <c r="G470" s="1180"/>
      <c r="H470" s="1180"/>
      <c r="I470" s="1180"/>
      <c r="J470" s="1180" t="s">
        <v>1026</v>
      </c>
      <c r="K470" s="1180"/>
      <c r="L470" s="1180"/>
      <c r="AC470" s="1253"/>
    </row>
    <row r="471">
      <c r="B471" s="1180"/>
      <c r="C471" s="1180"/>
      <c r="D471" s="1180"/>
      <c r="E471" s="310"/>
      <c r="F471" s="1180"/>
      <c r="G471" s="1180"/>
      <c r="H471" s="1180"/>
      <c r="I471" s="1180"/>
      <c r="J471" s="1180" t="s">
        <v>1026</v>
      </c>
      <c r="K471" s="1180"/>
      <c r="L471" s="1180"/>
      <c r="AC471" s="1253"/>
    </row>
    <row r="472">
      <c r="B472" s="1180"/>
      <c r="C472" s="1180"/>
      <c r="D472" s="1180"/>
      <c r="E472" s="310"/>
      <c r="F472" s="1180"/>
      <c r="G472" s="1180"/>
      <c r="H472" s="1180"/>
      <c r="I472" s="1180"/>
      <c r="J472" s="1180" t="s">
        <v>1026</v>
      </c>
      <c r="K472" s="1180"/>
      <c r="L472" s="1180"/>
      <c r="AC472" s="1253"/>
    </row>
    <row r="473">
      <c r="B473" s="1180"/>
      <c r="C473" s="1180"/>
      <c r="D473" s="1180"/>
      <c r="E473" s="310"/>
      <c r="F473" s="1180"/>
      <c r="G473" s="1180"/>
      <c r="H473" s="1180"/>
      <c r="I473" s="1180"/>
      <c r="J473" s="1180" t="s">
        <v>1026</v>
      </c>
      <c r="K473" s="1180"/>
      <c r="L473" s="1180"/>
      <c r="AC473" s="1253"/>
    </row>
    <row r="474">
      <c r="B474" s="1180"/>
      <c r="C474" s="1180"/>
      <c r="D474" s="1180"/>
      <c r="E474" s="310"/>
      <c r="F474" s="1180"/>
      <c r="G474" s="1180"/>
      <c r="H474" s="1180"/>
      <c r="I474" s="1180"/>
      <c r="J474" s="1180" t="s">
        <v>1026</v>
      </c>
      <c r="K474" s="1180"/>
      <c r="L474" s="1180"/>
      <c r="AC474" s="1253"/>
    </row>
    <row r="475">
      <c r="B475" s="1180"/>
      <c r="C475" s="1180"/>
      <c r="D475" s="1180"/>
      <c r="E475" s="310"/>
      <c r="F475" s="1180"/>
      <c r="G475" s="1180"/>
      <c r="H475" s="1180"/>
      <c r="I475" s="1180"/>
      <c r="J475" s="1180" t="s">
        <v>1026</v>
      </c>
      <c r="K475" s="1180"/>
      <c r="L475" s="1180"/>
      <c r="AC475" s="1253"/>
    </row>
    <row r="476">
      <c r="B476" s="1180"/>
      <c r="C476" s="1180"/>
      <c r="D476" s="1180"/>
      <c r="E476" s="310"/>
      <c r="F476" s="1180"/>
      <c r="G476" s="1180"/>
      <c r="H476" s="1180"/>
      <c r="I476" s="1180"/>
      <c r="J476" s="1180" t="s">
        <v>1026</v>
      </c>
      <c r="K476" s="1180"/>
      <c r="L476" s="1180"/>
      <c r="AC476" s="1253"/>
    </row>
    <row r="477">
      <c r="B477" s="1180"/>
      <c r="C477" s="1180"/>
      <c r="D477" s="1180"/>
      <c r="E477" s="310"/>
      <c r="F477" s="1180"/>
      <c r="G477" s="1180"/>
      <c r="H477" s="1180"/>
      <c r="I477" s="1180"/>
      <c r="J477" s="1180" t="s">
        <v>1026</v>
      </c>
      <c r="K477" s="1180"/>
      <c r="L477" s="1180"/>
      <c r="AC477" s="1253"/>
    </row>
    <row r="478">
      <c r="B478" s="1180"/>
      <c r="C478" s="1180"/>
      <c r="D478" s="1180"/>
      <c r="E478" s="310"/>
      <c r="F478" s="1180"/>
      <c r="G478" s="1180"/>
      <c r="H478" s="1180"/>
      <c r="I478" s="1180"/>
      <c r="J478" s="1180" t="s">
        <v>1026</v>
      </c>
      <c r="K478" s="1180"/>
      <c r="L478" s="1180"/>
      <c r="AC478" s="1253"/>
    </row>
    <row r="479">
      <c r="B479" s="1180"/>
      <c r="C479" s="1180"/>
      <c r="D479" s="1180"/>
      <c r="E479" s="310"/>
      <c r="F479" s="1180"/>
      <c r="G479" s="1180"/>
      <c r="H479" s="1180"/>
      <c r="I479" s="1180"/>
      <c r="J479" s="1180" t="s">
        <v>1026</v>
      </c>
      <c r="K479" s="1180"/>
      <c r="L479" s="1180"/>
      <c r="AC479" s="1253"/>
    </row>
    <row r="480">
      <c r="B480" s="1180"/>
      <c r="C480" s="1180"/>
      <c r="D480" s="1180"/>
      <c r="E480" s="310"/>
      <c r="F480" s="1180"/>
      <c r="G480" s="1180"/>
      <c r="H480" s="1180"/>
      <c r="I480" s="1180"/>
      <c r="J480" s="1180" t="s">
        <v>1026</v>
      </c>
      <c r="K480" s="1180"/>
      <c r="L480" s="1180"/>
      <c r="AC480" s="1253"/>
    </row>
    <row r="481">
      <c r="B481" s="1180"/>
      <c r="C481" s="1180"/>
      <c r="D481" s="1180"/>
      <c r="E481" s="310"/>
      <c r="F481" s="1180"/>
      <c r="G481" s="1180"/>
      <c r="H481" s="1180"/>
      <c r="I481" s="1180"/>
      <c r="J481" s="1180" t="s">
        <v>1026</v>
      </c>
      <c r="K481" s="1180"/>
      <c r="L481" s="1180"/>
      <c r="AC481" s="1253"/>
    </row>
    <row r="482">
      <c r="B482" s="1180"/>
      <c r="C482" s="1180"/>
      <c r="D482" s="1180"/>
      <c r="E482" s="310"/>
      <c r="F482" s="1180"/>
      <c r="G482" s="1180"/>
      <c r="H482" s="1180"/>
      <c r="I482" s="1180"/>
      <c r="J482" s="1180" t="s">
        <v>1026</v>
      </c>
      <c r="K482" s="1180"/>
      <c r="L482" s="1180"/>
      <c r="AC482" s="1253"/>
    </row>
    <row r="483">
      <c r="B483" s="1180"/>
      <c r="C483" s="1180"/>
      <c r="D483" s="1180"/>
      <c r="E483" s="310"/>
      <c r="F483" s="1180"/>
      <c r="G483" s="1180"/>
      <c r="H483" s="1180"/>
      <c r="I483" s="1180"/>
      <c r="J483" s="1180" t="s">
        <v>1026</v>
      </c>
      <c r="K483" s="1180"/>
      <c r="L483" s="1180"/>
      <c r="AC483" s="1253"/>
    </row>
    <row r="484">
      <c r="B484" s="1180"/>
      <c r="C484" s="1180"/>
      <c r="D484" s="1180"/>
      <c r="E484" s="310"/>
      <c r="F484" s="1180"/>
      <c r="G484" s="1180"/>
      <c r="H484" s="1180"/>
      <c r="I484" s="1180"/>
      <c r="J484" s="1180" t="s">
        <v>1026</v>
      </c>
      <c r="K484" s="1180"/>
      <c r="L484" s="1180"/>
      <c r="AC484" s="1253"/>
    </row>
    <row r="485">
      <c r="B485" s="1180"/>
      <c r="C485" s="1180"/>
      <c r="D485" s="1180"/>
      <c r="E485" s="310"/>
      <c r="F485" s="1180"/>
      <c r="G485" s="1180"/>
      <c r="H485" s="1180"/>
      <c r="I485" s="1180"/>
      <c r="J485" s="1180" t="s">
        <v>1026</v>
      </c>
      <c r="K485" s="1180"/>
      <c r="L485" s="1180"/>
      <c r="AC485" s="1253"/>
    </row>
    <row r="486">
      <c r="B486" s="1180"/>
      <c r="C486" s="1180"/>
      <c r="D486" s="1180"/>
      <c r="E486" s="310"/>
      <c r="F486" s="1180"/>
      <c r="G486" s="1180"/>
      <c r="H486" s="1180"/>
      <c r="I486" s="1180"/>
      <c r="J486" s="1180" t="s">
        <v>1026</v>
      </c>
      <c r="K486" s="1180"/>
      <c r="L486" s="1180"/>
      <c r="AC486" s="1253"/>
    </row>
    <row r="487">
      <c r="B487" s="1180"/>
      <c r="C487" s="1180"/>
      <c r="D487" s="1180"/>
      <c r="E487" s="310"/>
      <c r="F487" s="1180"/>
      <c r="G487" s="1180"/>
      <c r="H487" s="1180"/>
      <c r="I487" s="1180"/>
      <c r="J487" s="1180" t="s">
        <v>1026</v>
      </c>
      <c r="K487" s="1180"/>
      <c r="L487" s="1180"/>
      <c r="AC487" s="1253"/>
    </row>
    <row r="488">
      <c r="B488" s="1180"/>
      <c r="C488" s="1180"/>
      <c r="D488" s="1180"/>
      <c r="E488" s="310"/>
      <c r="F488" s="1180"/>
      <c r="G488" s="1180"/>
      <c r="H488" s="1180"/>
      <c r="I488" s="1180"/>
      <c r="J488" s="1180" t="s">
        <v>1026</v>
      </c>
      <c r="K488" s="1180"/>
      <c r="L488" s="1180"/>
      <c r="AC488" s="1253"/>
    </row>
    <row r="489">
      <c r="B489" s="1180"/>
      <c r="C489" s="1180"/>
      <c r="D489" s="1180"/>
      <c r="E489" s="310"/>
      <c r="F489" s="1180"/>
      <c r="G489" s="1180"/>
      <c r="H489" s="1180"/>
      <c r="I489" s="1180"/>
      <c r="J489" s="1180" t="s">
        <v>1026</v>
      </c>
      <c r="K489" s="1180"/>
      <c r="L489" s="1180"/>
      <c r="AC489" s="1253"/>
    </row>
    <row r="490">
      <c r="B490" s="1180"/>
      <c r="C490" s="1180"/>
      <c r="D490" s="1180"/>
      <c r="E490" s="310"/>
      <c r="F490" s="1180"/>
      <c r="G490" s="1180"/>
      <c r="H490" s="1180"/>
      <c r="I490" s="1180"/>
      <c r="J490" s="1180" t="s">
        <v>1026</v>
      </c>
      <c r="K490" s="1180"/>
      <c r="L490" s="1180"/>
      <c r="AC490" s="1253"/>
    </row>
    <row r="491">
      <c r="B491" s="1180"/>
      <c r="C491" s="1180"/>
      <c r="D491" s="1180"/>
      <c r="E491" s="310"/>
      <c r="F491" s="1180"/>
      <c r="G491" s="1180"/>
      <c r="H491" s="1180"/>
      <c r="I491" s="1180"/>
      <c r="J491" s="1180" t="s">
        <v>1026</v>
      </c>
      <c r="K491" s="1180"/>
      <c r="L491" s="1180"/>
      <c r="AC491" s="1253"/>
    </row>
    <row r="492">
      <c r="B492" s="1180"/>
      <c r="C492" s="1180"/>
      <c r="D492" s="1180"/>
      <c r="E492" s="310"/>
      <c r="F492" s="1180"/>
      <c r="G492" s="1180"/>
      <c r="H492" s="1180"/>
      <c r="I492" s="1180"/>
      <c r="J492" s="1180" t="s">
        <v>1026</v>
      </c>
      <c r="K492" s="1180"/>
      <c r="L492" s="1180"/>
      <c r="AC492" s="1253"/>
    </row>
    <row r="493">
      <c r="B493" s="1180"/>
      <c r="C493" s="1180"/>
      <c r="D493" s="1180"/>
      <c r="E493" s="310"/>
      <c r="F493" s="1180"/>
      <c r="G493" s="1180"/>
      <c r="H493" s="1180"/>
      <c r="I493" s="1180"/>
      <c r="J493" s="1180" t="s">
        <v>1026</v>
      </c>
      <c r="K493" s="1180"/>
      <c r="L493" s="1180"/>
      <c r="AC493" s="1253"/>
    </row>
    <row r="494">
      <c r="B494" s="1180"/>
      <c r="C494" s="1180"/>
      <c r="D494" s="1180"/>
      <c r="E494" s="310"/>
      <c r="F494" s="1180"/>
      <c r="G494" s="1180"/>
      <c r="H494" s="1180"/>
      <c r="I494" s="1180"/>
      <c r="J494" s="1180" t="s">
        <v>1026</v>
      </c>
      <c r="K494" s="1180"/>
      <c r="L494" s="1180"/>
      <c r="AC494" s="1253"/>
    </row>
    <row r="495">
      <c r="B495" s="1180"/>
      <c r="C495" s="1180"/>
      <c r="D495" s="1180"/>
      <c r="E495" s="310"/>
      <c r="F495" s="1180"/>
      <c r="G495" s="1180"/>
      <c r="H495" s="1180"/>
      <c r="I495" s="1180"/>
      <c r="J495" s="1180" t="s">
        <v>1026</v>
      </c>
      <c r="K495" s="1180"/>
      <c r="L495" s="1180"/>
      <c r="AC495" s="1253"/>
    </row>
    <row r="496">
      <c r="B496" s="1180"/>
      <c r="C496" s="1180"/>
      <c r="D496" s="1180"/>
      <c r="E496" s="310"/>
      <c r="F496" s="1180"/>
      <c r="G496" s="1180"/>
      <c r="H496" s="1180"/>
      <c r="I496" s="1180"/>
      <c r="J496" s="1180" t="s">
        <v>1026</v>
      </c>
      <c r="K496" s="1180"/>
      <c r="L496" s="1180"/>
      <c r="AC496" s="1253"/>
    </row>
    <row r="497">
      <c r="B497" s="1180"/>
      <c r="C497" s="1180"/>
      <c r="D497" s="1180"/>
      <c r="E497" s="310"/>
      <c r="F497" s="1180"/>
      <c r="G497" s="1180"/>
      <c r="H497" s="1180"/>
      <c r="I497" s="1180"/>
      <c r="J497" s="1180" t="s">
        <v>1026</v>
      </c>
      <c r="K497" s="1180"/>
      <c r="L497" s="1180"/>
      <c r="AC497" s="1253"/>
    </row>
    <row r="498">
      <c r="B498" s="1180"/>
      <c r="C498" s="1180"/>
      <c r="D498" s="1180"/>
      <c r="E498" s="310"/>
      <c r="F498" s="1180"/>
      <c r="G498" s="1180"/>
      <c r="H498" s="1180"/>
      <c r="I498" s="1180"/>
      <c r="J498" s="1180" t="s">
        <v>1026</v>
      </c>
      <c r="K498" s="1180"/>
      <c r="L498" s="1180"/>
      <c r="AC498" s="1253"/>
    </row>
    <row r="499">
      <c r="B499" s="1180"/>
      <c r="C499" s="1180"/>
      <c r="D499" s="1180"/>
      <c r="E499" s="310"/>
      <c r="F499" s="1180"/>
      <c r="G499" s="1180"/>
      <c r="H499" s="1180"/>
      <c r="I499" s="1180"/>
      <c r="J499" s="1180" t="s">
        <v>1026</v>
      </c>
      <c r="K499" s="1180"/>
      <c r="L499" s="1180"/>
      <c r="AC499" s="1253"/>
    </row>
    <row r="500">
      <c r="B500" s="1180"/>
      <c r="C500" s="1180"/>
      <c r="D500" s="1180"/>
      <c r="E500" s="310"/>
      <c r="F500" s="1180"/>
      <c r="G500" s="1180"/>
      <c r="H500" s="1180"/>
      <c r="I500" s="1180"/>
      <c r="J500" s="1180" t="s">
        <v>1026</v>
      </c>
      <c r="K500" s="1180"/>
      <c r="L500" s="1180"/>
      <c r="AC500" s="1253"/>
    </row>
    <row r="501">
      <c r="B501" s="1180"/>
      <c r="C501" s="1180"/>
      <c r="D501" s="1180"/>
      <c r="E501" s="310"/>
      <c r="F501" s="1180"/>
      <c r="G501" s="1180"/>
      <c r="H501" s="1180"/>
      <c r="I501" s="1180"/>
      <c r="J501" s="1180" t="s">
        <v>1026</v>
      </c>
      <c r="K501" s="1180"/>
      <c r="L501" s="1180"/>
      <c r="AC501" s="1253"/>
    </row>
    <row r="502">
      <c r="B502" s="1180"/>
      <c r="C502" s="1180"/>
      <c r="D502" s="1180"/>
      <c r="E502" s="310"/>
      <c r="F502" s="1180"/>
      <c r="G502" s="1180"/>
      <c r="H502" s="1180"/>
      <c r="I502" s="1180"/>
      <c r="J502" s="1180" t="s">
        <v>1026</v>
      </c>
      <c r="K502" s="1180"/>
      <c r="L502" s="1180"/>
      <c r="AC502" s="1253"/>
    </row>
    <row r="503">
      <c r="B503" s="1180"/>
      <c r="C503" s="1180"/>
      <c r="D503" s="1180"/>
      <c r="E503" s="310"/>
      <c r="F503" s="1180"/>
      <c r="G503" s="1180"/>
      <c r="H503" s="1180"/>
      <c r="I503" s="1180"/>
      <c r="J503" s="1180" t="s">
        <v>1026</v>
      </c>
      <c r="K503" s="1180"/>
      <c r="L503" s="1180"/>
      <c r="AC503" s="1253"/>
    </row>
    <row r="504">
      <c r="B504" s="1180"/>
      <c r="C504" s="1180"/>
      <c r="D504" s="1180"/>
      <c r="E504" s="310"/>
      <c r="F504" s="1180"/>
      <c r="G504" s="1180"/>
      <c r="H504" s="1180"/>
      <c r="I504" s="1180"/>
      <c r="J504" s="1180" t="s">
        <v>1026</v>
      </c>
      <c r="K504" s="1180"/>
      <c r="L504" s="1180"/>
      <c r="AC504" s="1253"/>
    </row>
    <row r="505">
      <c r="B505" s="1180"/>
      <c r="C505" s="1180"/>
      <c r="D505" s="1180"/>
      <c r="E505" s="310"/>
      <c r="F505" s="1180"/>
      <c r="G505" s="1180"/>
      <c r="H505" s="1180"/>
      <c r="I505" s="1180"/>
      <c r="J505" s="1180" t="s">
        <v>1026</v>
      </c>
      <c r="K505" s="1180"/>
      <c r="L505" s="1180"/>
      <c r="AC505" s="1253"/>
    </row>
    <row r="506">
      <c r="B506" s="1180"/>
      <c r="C506" s="1180"/>
      <c r="D506" s="1180"/>
      <c r="E506" s="310"/>
      <c r="F506" s="1180"/>
      <c r="G506" s="1180"/>
      <c r="H506" s="1180"/>
      <c r="I506" s="1180"/>
      <c r="J506" s="1180" t="s">
        <v>1026</v>
      </c>
      <c r="K506" s="1180"/>
      <c r="L506" s="1180"/>
      <c r="AC506" s="1253"/>
    </row>
    <row r="507">
      <c r="B507" s="1180"/>
      <c r="C507" s="1180"/>
      <c r="D507" s="1180"/>
      <c r="E507" s="310"/>
      <c r="F507" s="1180"/>
      <c r="G507" s="1180"/>
      <c r="H507" s="1180"/>
      <c r="I507" s="1180"/>
      <c r="J507" s="1180" t="s">
        <v>1026</v>
      </c>
      <c r="K507" s="1180"/>
      <c r="L507" s="1180"/>
      <c r="AC507" s="1253"/>
    </row>
    <row r="508">
      <c r="B508" s="1180"/>
      <c r="C508" s="1180"/>
      <c r="D508" s="1180"/>
      <c r="E508" s="310"/>
      <c r="F508" s="1180"/>
      <c r="G508" s="1180"/>
      <c r="H508" s="1180"/>
      <c r="I508" s="1180"/>
      <c r="J508" s="1180" t="s">
        <v>1026</v>
      </c>
      <c r="K508" s="1180"/>
      <c r="L508" s="1180"/>
      <c r="AC508" s="1253"/>
    </row>
    <row r="509">
      <c r="B509" s="1180"/>
      <c r="C509" s="1180"/>
      <c r="D509" s="1180"/>
      <c r="E509" s="310"/>
      <c r="F509" s="1180"/>
      <c r="G509" s="1180"/>
      <c r="H509" s="1180"/>
      <c r="I509" s="1180"/>
      <c r="J509" s="1180" t="s">
        <v>1026</v>
      </c>
      <c r="K509" s="1180"/>
      <c r="L509" s="1180"/>
      <c r="AC509" s="1253"/>
    </row>
    <row r="510">
      <c r="B510" s="1180"/>
      <c r="C510" s="1180"/>
      <c r="D510" s="1180"/>
      <c r="E510" s="310"/>
      <c r="F510" s="1180"/>
      <c r="G510" s="1180"/>
      <c r="H510" s="1180"/>
      <c r="I510" s="1180"/>
      <c r="J510" s="1180" t="s">
        <v>1026</v>
      </c>
      <c r="K510" s="1180"/>
      <c r="L510" s="1180"/>
      <c r="AC510" s="1253"/>
    </row>
    <row r="511">
      <c r="B511" s="1180"/>
      <c r="C511" s="1180"/>
      <c r="D511" s="1180"/>
      <c r="E511" s="310"/>
      <c r="F511" s="1180"/>
      <c r="G511" s="1180"/>
      <c r="H511" s="1180"/>
      <c r="I511" s="1180"/>
      <c r="J511" s="1180" t="s">
        <v>1026</v>
      </c>
      <c r="K511" s="1180"/>
      <c r="L511" s="1180"/>
      <c r="AC511" s="1253"/>
    </row>
    <row r="512">
      <c r="B512" s="1180"/>
      <c r="C512" s="1180"/>
      <c r="D512" s="1180"/>
      <c r="E512" s="310"/>
      <c r="F512" s="1180"/>
      <c r="G512" s="1180"/>
      <c r="H512" s="1180"/>
      <c r="I512" s="1180"/>
      <c r="J512" s="1180" t="s">
        <v>1026</v>
      </c>
      <c r="K512" s="1180"/>
      <c r="L512" s="1180"/>
      <c r="AC512" s="1253"/>
    </row>
    <row r="513">
      <c r="B513" s="1180"/>
      <c r="C513" s="1180"/>
      <c r="D513" s="1180"/>
      <c r="E513" s="310"/>
      <c r="F513" s="1180"/>
      <c r="G513" s="1180"/>
      <c r="H513" s="1180"/>
      <c r="I513" s="1180"/>
      <c r="J513" s="1180" t="s">
        <v>1026</v>
      </c>
      <c r="K513" s="1180"/>
      <c r="L513" s="1180"/>
      <c r="AC513" s="1253"/>
    </row>
    <row r="514">
      <c r="B514" s="1180"/>
      <c r="C514" s="1180"/>
      <c r="D514" s="1180"/>
      <c r="E514" s="310"/>
      <c r="F514" s="1180"/>
      <c r="G514" s="1180"/>
      <c r="H514" s="1180"/>
      <c r="I514" s="1180"/>
      <c r="J514" s="1180" t="s">
        <v>1026</v>
      </c>
      <c r="K514" s="1180"/>
      <c r="L514" s="1180"/>
      <c r="AC514" s="1253"/>
    </row>
    <row r="515">
      <c r="B515" s="1180"/>
      <c r="C515" s="1180"/>
      <c r="D515" s="1180"/>
      <c r="E515" s="310"/>
      <c r="F515" s="1180"/>
      <c r="G515" s="1180"/>
      <c r="H515" s="1180"/>
      <c r="I515" s="1180"/>
      <c r="J515" s="1180" t="s">
        <v>1026</v>
      </c>
      <c r="K515" s="1180"/>
      <c r="L515" s="1180"/>
      <c r="AC515" s="1253"/>
    </row>
    <row r="516">
      <c r="B516" s="1180"/>
      <c r="C516" s="1180"/>
      <c r="D516" s="1180"/>
      <c r="E516" s="310"/>
      <c r="F516" s="1180"/>
      <c r="G516" s="1180"/>
      <c r="H516" s="1180"/>
      <c r="I516" s="1180"/>
      <c r="J516" s="1180" t="s">
        <v>1026</v>
      </c>
      <c r="K516" s="1180"/>
      <c r="L516" s="1180"/>
      <c r="AC516" s="1253"/>
    </row>
    <row r="517">
      <c r="B517" s="1180"/>
      <c r="C517" s="1180"/>
      <c r="D517" s="1180"/>
      <c r="E517" s="310"/>
      <c r="F517" s="1180"/>
      <c r="G517" s="1180"/>
      <c r="H517" s="1180"/>
      <c r="I517" s="1180"/>
      <c r="J517" s="1180" t="s">
        <v>1026</v>
      </c>
      <c r="K517" s="1180"/>
      <c r="L517" s="1180"/>
      <c r="AC517" s="1253"/>
    </row>
    <row r="518">
      <c r="B518" s="1180"/>
      <c r="C518" s="1180"/>
      <c r="D518" s="1180"/>
      <c r="E518" s="310"/>
      <c r="F518" s="1180"/>
      <c r="G518" s="1180"/>
      <c r="H518" s="1180"/>
      <c r="I518" s="1180"/>
      <c r="J518" s="1180" t="s">
        <v>1026</v>
      </c>
      <c r="K518" s="1180"/>
      <c r="L518" s="1180"/>
      <c r="AC518" s="1253"/>
    </row>
    <row r="519">
      <c r="B519" s="1180"/>
      <c r="C519" s="1180"/>
      <c r="D519" s="1180"/>
      <c r="E519" s="310"/>
      <c r="F519" s="1180"/>
      <c r="G519" s="1180"/>
      <c r="H519" s="1180"/>
      <c r="I519" s="1180"/>
      <c r="J519" s="1180" t="s">
        <v>1026</v>
      </c>
      <c r="K519" s="1180"/>
      <c r="L519" s="1180"/>
      <c r="AC519" s="1253"/>
    </row>
    <row r="520">
      <c r="B520" s="1180"/>
      <c r="C520" s="1180"/>
      <c r="D520" s="1180"/>
      <c r="E520" s="310"/>
      <c r="F520" s="1180"/>
      <c r="G520" s="1180"/>
      <c r="H520" s="1180"/>
      <c r="I520" s="1180"/>
      <c r="J520" s="1180" t="s">
        <v>1026</v>
      </c>
      <c r="K520" s="1180"/>
      <c r="L520" s="1180"/>
      <c r="AC520" s="1253"/>
    </row>
    <row r="521">
      <c r="B521" s="1180"/>
      <c r="C521" s="1180"/>
      <c r="D521" s="1180"/>
      <c r="E521" s="310"/>
      <c r="F521" s="1180"/>
      <c r="G521" s="1180"/>
      <c r="H521" s="1180"/>
      <c r="I521" s="1180"/>
      <c r="J521" s="1180" t="s">
        <v>1026</v>
      </c>
      <c r="K521" s="1180"/>
      <c r="L521" s="1180"/>
      <c r="AC521" s="1253"/>
    </row>
    <row r="522">
      <c r="B522" s="1180"/>
      <c r="C522" s="1180"/>
      <c r="D522" s="1180"/>
      <c r="E522" s="310"/>
      <c r="F522" s="1180"/>
      <c r="G522" s="1180"/>
      <c r="H522" s="1180"/>
      <c r="I522" s="1180"/>
      <c r="J522" s="1180" t="s">
        <v>1026</v>
      </c>
      <c r="K522" s="1180"/>
      <c r="L522" s="1180"/>
      <c r="AC522" s="1253"/>
    </row>
    <row r="523">
      <c r="B523" s="1180"/>
      <c r="C523" s="1180"/>
      <c r="D523" s="1180"/>
      <c r="E523" s="310"/>
      <c r="F523" s="1180"/>
      <c r="G523" s="1180"/>
      <c r="H523" s="1180"/>
      <c r="I523" s="1180"/>
      <c r="J523" s="1180" t="s">
        <v>1026</v>
      </c>
      <c r="K523" s="1180"/>
      <c r="L523" s="1180"/>
      <c r="AC523" s="1253"/>
    </row>
    <row r="524">
      <c r="B524" s="1180"/>
      <c r="C524" s="1180"/>
      <c r="D524" s="1180"/>
      <c r="E524" s="310"/>
      <c r="F524" s="1180"/>
      <c r="G524" s="1180"/>
      <c r="H524" s="1180"/>
      <c r="I524" s="1180"/>
      <c r="J524" s="1180" t="s">
        <v>1026</v>
      </c>
      <c r="K524" s="1180"/>
      <c r="L524" s="1180"/>
      <c r="AC524" s="1253"/>
    </row>
    <row r="525">
      <c r="B525" s="1180"/>
      <c r="C525" s="1180"/>
      <c r="D525" s="1180"/>
      <c r="E525" s="310"/>
      <c r="F525" s="1180"/>
      <c r="G525" s="1180"/>
      <c r="H525" s="1180"/>
      <c r="I525" s="1180"/>
      <c r="J525" s="1180" t="s">
        <v>1026</v>
      </c>
      <c r="K525" s="1180"/>
      <c r="L525" s="1180"/>
      <c r="AC525" s="1253"/>
    </row>
    <row r="526">
      <c r="B526" s="1180"/>
      <c r="C526" s="1180"/>
      <c r="D526" s="1180"/>
      <c r="E526" s="310"/>
      <c r="F526" s="1180"/>
      <c r="G526" s="1180"/>
      <c r="H526" s="1180"/>
      <c r="I526" s="1180"/>
      <c r="J526" s="1180" t="s">
        <v>1026</v>
      </c>
      <c r="K526" s="1180"/>
      <c r="L526" s="1180"/>
      <c r="AC526" s="1253"/>
    </row>
    <row r="527">
      <c r="B527" s="1180"/>
      <c r="C527" s="1180"/>
      <c r="D527" s="1180"/>
      <c r="E527" s="310"/>
      <c r="F527" s="1180"/>
      <c r="G527" s="1180"/>
      <c r="H527" s="1180"/>
      <c r="I527" s="1180"/>
      <c r="J527" s="1180" t="s">
        <v>1026</v>
      </c>
      <c r="K527" s="1180"/>
      <c r="L527" s="1180"/>
      <c r="AC527" s="1253"/>
    </row>
    <row r="528">
      <c r="B528" s="1180"/>
      <c r="C528" s="1180"/>
      <c r="D528" s="1180"/>
      <c r="E528" s="310"/>
      <c r="F528" s="1180"/>
      <c r="G528" s="1180"/>
      <c r="H528" s="1180"/>
      <c r="I528" s="1180"/>
      <c r="J528" s="1180" t="s">
        <v>1026</v>
      </c>
      <c r="K528" s="1180"/>
      <c r="L528" s="1180"/>
      <c r="AC528" s="1253"/>
    </row>
    <row r="529">
      <c r="B529" s="1180"/>
      <c r="C529" s="1180"/>
      <c r="D529" s="1180"/>
      <c r="E529" s="310"/>
      <c r="F529" s="1180"/>
      <c r="G529" s="1180"/>
      <c r="H529" s="1180"/>
      <c r="I529" s="1180"/>
      <c r="J529" s="1180" t="s">
        <v>1026</v>
      </c>
      <c r="K529" s="1180"/>
      <c r="L529" s="1180"/>
      <c r="AC529" s="1253"/>
    </row>
    <row r="530">
      <c r="B530" s="1180"/>
      <c r="C530" s="1180"/>
      <c r="D530" s="1180"/>
      <c r="E530" s="310"/>
      <c r="F530" s="1180"/>
      <c r="G530" s="1180"/>
      <c r="H530" s="1180"/>
      <c r="I530" s="1180"/>
      <c r="J530" s="1180" t="s">
        <v>1026</v>
      </c>
      <c r="K530" s="1180"/>
      <c r="L530" s="1180"/>
      <c r="AC530" s="1253"/>
    </row>
    <row r="531">
      <c r="B531" s="1180"/>
      <c r="C531" s="1180"/>
      <c r="D531" s="1180"/>
      <c r="E531" s="310"/>
      <c r="F531" s="1180"/>
      <c r="G531" s="1180"/>
      <c r="H531" s="1180"/>
      <c r="I531" s="1180"/>
      <c r="J531" s="1180" t="s">
        <v>1026</v>
      </c>
      <c r="K531" s="1180"/>
      <c r="L531" s="1180"/>
      <c r="AC531" s="1253"/>
    </row>
    <row r="532">
      <c r="B532" s="1180"/>
      <c r="C532" s="1180"/>
      <c r="D532" s="1180"/>
      <c r="E532" s="310"/>
      <c r="F532" s="1180"/>
      <c r="G532" s="1180"/>
      <c r="H532" s="1180"/>
      <c r="I532" s="1180"/>
      <c r="J532" s="1180" t="s">
        <v>1026</v>
      </c>
      <c r="K532" s="1180"/>
      <c r="L532" s="1180"/>
      <c r="AC532" s="1253"/>
    </row>
    <row r="533">
      <c r="B533" s="1180"/>
      <c r="C533" s="1180"/>
      <c r="D533" s="1180"/>
      <c r="E533" s="310"/>
      <c r="F533" s="1180"/>
      <c r="G533" s="1180"/>
      <c r="H533" s="1180"/>
      <c r="I533" s="1180"/>
      <c r="J533" s="1180" t="s">
        <v>1026</v>
      </c>
      <c r="K533" s="1180"/>
      <c r="L533" s="1180"/>
      <c r="AC533" s="1253"/>
    </row>
    <row r="534">
      <c r="B534" s="1180"/>
      <c r="C534" s="1180"/>
      <c r="D534" s="1180"/>
      <c r="E534" s="310"/>
      <c r="F534" s="1180"/>
      <c r="G534" s="1180"/>
      <c r="H534" s="1180"/>
      <c r="I534" s="1180"/>
      <c r="J534" s="1180" t="s">
        <v>1026</v>
      </c>
      <c r="K534" s="1180"/>
      <c r="L534" s="1180"/>
      <c r="AC534" s="1253"/>
    </row>
    <row r="535">
      <c r="B535" s="1180"/>
      <c r="C535" s="1180"/>
      <c r="D535" s="1180"/>
      <c r="E535" s="310"/>
      <c r="F535" s="1180"/>
      <c r="G535" s="1180"/>
      <c r="H535" s="1180"/>
      <c r="I535" s="1180"/>
      <c r="J535" s="1180" t="s">
        <v>1026</v>
      </c>
      <c r="K535" s="1180"/>
      <c r="L535" s="1180"/>
      <c r="AC535" s="1253"/>
    </row>
    <row r="536">
      <c r="B536" s="1180"/>
      <c r="C536" s="1180"/>
      <c r="D536" s="1180"/>
      <c r="E536" s="310"/>
      <c r="F536" s="1180"/>
      <c r="G536" s="1180"/>
      <c r="H536" s="1180"/>
      <c r="I536" s="1180"/>
      <c r="J536" s="1180" t="s">
        <v>1026</v>
      </c>
      <c r="K536" s="1180"/>
      <c r="L536" s="1180"/>
      <c r="AC536" s="1253"/>
    </row>
    <row r="537">
      <c r="B537" s="1180"/>
      <c r="C537" s="1180"/>
      <c r="D537" s="1180"/>
      <c r="E537" s="310"/>
      <c r="F537" s="1180"/>
      <c r="G537" s="1180"/>
      <c r="H537" s="1180"/>
      <c r="I537" s="1180"/>
      <c r="J537" s="1180" t="s">
        <v>1026</v>
      </c>
      <c r="K537" s="1180"/>
      <c r="L537" s="1180"/>
      <c r="AC537" s="1253"/>
    </row>
    <row r="538">
      <c r="B538" s="1180"/>
      <c r="C538" s="1180"/>
      <c r="D538" s="1180"/>
      <c r="E538" s="310"/>
      <c r="F538" s="1180"/>
      <c r="G538" s="1180"/>
      <c r="H538" s="1180"/>
      <c r="I538" s="1180"/>
      <c r="J538" s="1180" t="s">
        <v>1026</v>
      </c>
      <c r="K538" s="1180"/>
      <c r="L538" s="1180"/>
      <c r="AC538" s="1253"/>
    </row>
    <row r="539">
      <c r="B539" s="1180"/>
      <c r="C539" s="1180"/>
      <c r="D539" s="1180"/>
      <c r="E539" s="310"/>
      <c r="F539" s="1180"/>
      <c r="G539" s="1180"/>
      <c r="H539" s="1180"/>
      <c r="I539" s="1180"/>
      <c r="J539" s="1180" t="s">
        <v>1026</v>
      </c>
      <c r="K539" s="1180"/>
      <c r="L539" s="1180"/>
      <c r="AC539" s="1253"/>
    </row>
    <row r="540">
      <c r="B540" s="1180"/>
      <c r="C540" s="1180"/>
      <c r="D540" s="1180"/>
      <c r="E540" s="310"/>
      <c r="F540" s="1180"/>
      <c r="G540" s="1180"/>
      <c r="H540" s="1180"/>
      <c r="I540" s="1180"/>
      <c r="J540" s="1180" t="s">
        <v>1026</v>
      </c>
      <c r="K540" s="1180"/>
      <c r="L540" s="1180"/>
      <c r="AC540" s="1253"/>
    </row>
    <row r="541">
      <c r="B541" s="1180"/>
      <c r="C541" s="1180"/>
      <c r="D541" s="1180"/>
      <c r="E541" s="310"/>
      <c r="F541" s="1180"/>
      <c r="G541" s="1180"/>
      <c r="H541" s="1180"/>
      <c r="I541" s="1180"/>
      <c r="J541" s="1180" t="s">
        <v>1026</v>
      </c>
      <c r="K541" s="1180"/>
      <c r="L541" s="1180"/>
      <c r="AC541" s="1253"/>
    </row>
    <row r="542">
      <c r="B542" s="1180"/>
      <c r="C542" s="1180"/>
      <c r="D542" s="1180"/>
      <c r="E542" s="310"/>
      <c r="F542" s="1180"/>
      <c r="G542" s="1180"/>
      <c r="H542" s="1180"/>
      <c r="I542" s="1180"/>
      <c r="J542" s="1180" t="s">
        <v>1026</v>
      </c>
      <c r="K542" s="1180"/>
      <c r="L542" s="1180"/>
      <c r="AC542" s="1253"/>
    </row>
    <row r="543">
      <c r="B543" s="1180"/>
      <c r="C543" s="1180"/>
      <c r="D543" s="1180"/>
      <c r="E543" s="310"/>
      <c r="F543" s="1180"/>
      <c r="G543" s="1180"/>
      <c r="H543" s="1180"/>
      <c r="I543" s="1180"/>
      <c r="J543" s="1180" t="s">
        <v>1026</v>
      </c>
      <c r="K543" s="1180"/>
      <c r="L543" s="1180"/>
      <c r="AC543" s="1253"/>
    </row>
    <row r="544">
      <c r="B544" s="1180"/>
      <c r="C544" s="1180"/>
      <c r="D544" s="1180"/>
      <c r="E544" s="310"/>
      <c r="F544" s="1180"/>
      <c r="G544" s="1180"/>
      <c r="H544" s="1180"/>
      <c r="I544" s="1180"/>
      <c r="J544" s="1180" t="s">
        <v>1026</v>
      </c>
      <c r="K544" s="1180"/>
      <c r="L544" s="1180"/>
      <c r="AC544" s="1253"/>
    </row>
    <row r="545">
      <c r="B545" s="1180"/>
      <c r="C545" s="1180"/>
      <c r="D545" s="1180"/>
      <c r="E545" s="310"/>
      <c r="F545" s="1180"/>
      <c r="G545" s="1180"/>
      <c r="H545" s="1180"/>
      <c r="I545" s="1180"/>
      <c r="J545" s="1180" t="s">
        <v>1026</v>
      </c>
      <c r="K545" s="1180"/>
      <c r="L545" s="1180"/>
      <c r="AC545" s="1253"/>
    </row>
    <row r="546">
      <c r="B546" s="1180"/>
      <c r="C546" s="1180"/>
      <c r="D546" s="1180"/>
      <c r="E546" s="310"/>
      <c r="F546" s="1180"/>
      <c r="G546" s="1180"/>
      <c r="H546" s="1180"/>
      <c r="I546" s="1180"/>
      <c r="J546" s="1180" t="s">
        <v>1026</v>
      </c>
      <c r="K546" s="1180"/>
      <c r="L546" s="1180"/>
      <c r="AC546" s="1253"/>
    </row>
    <row r="547">
      <c r="B547" s="1180"/>
      <c r="C547" s="1180"/>
      <c r="D547" s="1180"/>
      <c r="E547" s="310"/>
      <c r="F547" s="1180"/>
      <c r="G547" s="1180"/>
      <c r="H547" s="1180"/>
      <c r="I547" s="1180"/>
      <c r="J547" s="1180" t="s">
        <v>1026</v>
      </c>
      <c r="K547" s="1180"/>
      <c r="L547" s="1180"/>
      <c r="AC547" s="1253"/>
    </row>
    <row r="548">
      <c r="B548" s="1180"/>
      <c r="C548" s="1180"/>
      <c r="D548" s="1180"/>
      <c r="E548" s="310"/>
      <c r="F548" s="1180"/>
      <c r="G548" s="1180"/>
      <c r="H548" s="1180"/>
      <c r="I548" s="1180"/>
      <c r="J548" s="1180" t="s">
        <v>1026</v>
      </c>
      <c r="K548" s="1180"/>
      <c r="L548" s="1180"/>
      <c r="AC548" s="1253"/>
    </row>
    <row r="549">
      <c r="B549" s="1180"/>
      <c r="C549" s="1180"/>
      <c r="D549" s="1180"/>
      <c r="E549" s="310"/>
      <c r="F549" s="1180"/>
      <c r="G549" s="1180"/>
      <c r="H549" s="1180"/>
      <c r="I549" s="1180"/>
      <c r="J549" s="1180" t="s">
        <v>1026</v>
      </c>
      <c r="K549" s="1180"/>
      <c r="L549" s="1180"/>
      <c r="AC549" s="1253"/>
    </row>
    <row r="550">
      <c r="B550" s="1180"/>
      <c r="C550" s="1180"/>
      <c r="D550" s="1180"/>
      <c r="E550" s="310"/>
      <c r="F550" s="1180"/>
      <c r="G550" s="1180"/>
      <c r="H550" s="1180"/>
      <c r="I550" s="1180"/>
      <c r="J550" s="1180" t="s">
        <v>1026</v>
      </c>
      <c r="K550" s="1180"/>
      <c r="L550" s="1180"/>
      <c r="AC550" s="1253"/>
    </row>
    <row r="551">
      <c r="B551" s="1180"/>
      <c r="C551" s="1180"/>
      <c r="D551" s="1180"/>
      <c r="E551" s="310"/>
      <c r="F551" s="1180"/>
      <c r="G551" s="1180"/>
      <c r="H551" s="1180"/>
      <c r="I551" s="1180"/>
      <c r="J551" s="1180" t="s">
        <v>1026</v>
      </c>
      <c r="K551" s="1180"/>
      <c r="L551" s="1180"/>
      <c r="AC551" s="1253"/>
    </row>
    <row r="552">
      <c r="B552" s="1180"/>
      <c r="C552" s="1180"/>
      <c r="D552" s="1180"/>
      <c r="E552" s="310"/>
      <c r="F552" s="1180"/>
      <c r="G552" s="1180"/>
      <c r="H552" s="1180"/>
      <c r="I552" s="1180"/>
      <c r="J552" s="1180" t="s">
        <v>1026</v>
      </c>
      <c r="K552" s="1180"/>
      <c r="L552" s="1180"/>
      <c r="AC552" s="1253"/>
    </row>
    <row r="553">
      <c r="B553" s="1180"/>
      <c r="C553" s="1180"/>
      <c r="D553" s="1180"/>
      <c r="E553" s="310"/>
      <c r="F553" s="1180"/>
      <c r="G553" s="1180"/>
      <c r="H553" s="1180"/>
      <c r="I553" s="1180"/>
      <c r="J553" s="1180" t="s">
        <v>1026</v>
      </c>
      <c r="K553" s="1180"/>
      <c r="L553" s="1180"/>
      <c r="AC553" s="1253"/>
    </row>
    <row r="554">
      <c r="B554" s="1180"/>
      <c r="C554" s="1180"/>
      <c r="D554" s="1180"/>
      <c r="E554" s="310"/>
      <c r="F554" s="1180"/>
      <c r="G554" s="1180"/>
      <c r="H554" s="1180"/>
      <c r="I554" s="1180"/>
      <c r="J554" s="1180" t="s">
        <v>1026</v>
      </c>
      <c r="K554" s="1180"/>
      <c r="L554" s="1180"/>
      <c r="AC554" s="1253"/>
    </row>
    <row r="555">
      <c r="B555" s="1180"/>
      <c r="C555" s="1180"/>
      <c r="D555" s="1180"/>
      <c r="E555" s="310"/>
      <c r="F555" s="1180"/>
      <c r="G555" s="1180"/>
      <c r="H555" s="1180"/>
      <c r="I555" s="1180"/>
      <c r="J555" s="1180" t="s">
        <v>1026</v>
      </c>
      <c r="K555" s="1180"/>
      <c r="L555" s="1180"/>
      <c r="AC555" s="1253"/>
    </row>
    <row r="556">
      <c r="B556" s="1180"/>
      <c r="C556" s="1180"/>
      <c r="D556" s="1180"/>
      <c r="E556" s="310"/>
      <c r="F556" s="1180"/>
      <c r="G556" s="1180"/>
      <c r="H556" s="1180"/>
      <c r="I556" s="1180"/>
      <c r="J556" s="1180" t="s">
        <v>1026</v>
      </c>
      <c r="K556" s="1180"/>
      <c r="L556" s="1180"/>
      <c r="AC556" s="1253"/>
    </row>
    <row r="557">
      <c r="B557" s="1180"/>
      <c r="C557" s="1180"/>
      <c r="D557" s="1180"/>
      <c r="E557" s="310"/>
      <c r="F557" s="1180"/>
      <c r="G557" s="1180"/>
      <c r="H557" s="1180"/>
      <c r="I557" s="1180"/>
      <c r="J557" s="1180" t="s">
        <v>1026</v>
      </c>
      <c r="K557" s="1180"/>
      <c r="L557" s="1180"/>
      <c r="AC557" s="1253"/>
    </row>
    <row r="558">
      <c r="B558" s="1180"/>
      <c r="C558" s="1180"/>
      <c r="D558" s="1180"/>
      <c r="E558" s="310"/>
      <c r="F558" s="1180"/>
      <c r="G558" s="1180"/>
      <c r="H558" s="1180"/>
      <c r="I558" s="1180"/>
      <c r="J558" s="1180" t="s">
        <v>1026</v>
      </c>
      <c r="K558" s="1180"/>
      <c r="L558" s="1180"/>
      <c r="AC558" s="1253"/>
    </row>
    <row r="559">
      <c r="B559" s="1180"/>
      <c r="C559" s="1180"/>
      <c r="D559" s="1180"/>
      <c r="E559" s="310"/>
      <c r="F559" s="1180"/>
      <c r="G559" s="1180"/>
      <c r="H559" s="1180"/>
      <c r="I559" s="1180"/>
      <c r="J559" s="1180" t="s">
        <v>1026</v>
      </c>
      <c r="K559" s="1180"/>
      <c r="L559" s="1180"/>
      <c r="AC559" s="1253"/>
    </row>
    <row r="560">
      <c r="B560" s="1180"/>
      <c r="C560" s="1180"/>
      <c r="D560" s="1180"/>
      <c r="E560" s="310"/>
      <c r="F560" s="1180"/>
      <c r="G560" s="1180"/>
      <c r="H560" s="1180"/>
      <c r="I560" s="1180"/>
      <c r="J560" s="1180" t="s">
        <v>1026</v>
      </c>
      <c r="K560" s="1180"/>
      <c r="L560" s="1180"/>
      <c r="AC560" s="1253"/>
    </row>
    <row r="561">
      <c r="B561" s="1180"/>
      <c r="C561" s="1180"/>
      <c r="D561" s="1180"/>
      <c r="E561" s="310"/>
      <c r="F561" s="1180"/>
      <c r="G561" s="1180"/>
      <c r="H561" s="1180"/>
      <c r="I561" s="1180"/>
      <c r="J561" s="1180" t="s">
        <v>1026</v>
      </c>
      <c r="K561" s="1180"/>
      <c r="L561" s="1180"/>
      <c r="AC561" s="1253"/>
    </row>
    <row r="562">
      <c r="B562" s="1180"/>
      <c r="C562" s="1180"/>
      <c r="D562" s="1180"/>
      <c r="E562" s="310"/>
      <c r="F562" s="1180"/>
      <c r="G562" s="1180"/>
      <c r="H562" s="1180"/>
      <c r="I562" s="1180"/>
      <c r="J562" s="1180" t="s">
        <v>1026</v>
      </c>
      <c r="K562" s="1180"/>
      <c r="L562" s="1180"/>
      <c r="AC562" s="1253"/>
    </row>
    <row r="563">
      <c r="B563" s="1180"/>
      <c r="C563" s="1180"/>
      <c r="D563" s="1180"/>
      <c r="E563" s="310"/>
      <c r="F563" s="1180"/>
      <c r="G563" s="1180"/>
      <c r="H563" s="1180"/>
      <c r="I563" s="1180"/>
      <c r="J563" s="1180" t="s">
        <v>1026</v>
      </c>
      <c r="K563" s="1180"/>
      <c r="L563" s="1180"/>
      <c r="AC563" s="1253"/>
    </row>
    <row r="564">
      <c r="B564" s="1180"/>
      <c r="C564" s="1180"/>
      <c r="D564" s="1180"/>
      <c r="E564" s="310"/>
      <c r="F564" s="1180"/>
      <c r="G564" s="1180"/>
      <c r="H564" s="1180"/>
      <c r="I564" s="1180"/>
      <c r="J564" s="1180" t="s">
        <v>1026</v>
      </c>
      <c r="K564" s="1180"/>
      <c r="L564" s="1180"/>
      <c r="AC564" s="1253"/>
    </row>
    <row r="565">
      <c r="B565" s="1180"/>
      <c r="C565" s="1180"/>
      <c r="D565" s="1180"/>
      <c r="E565" s="310"/>
      <c r="F565" s="1180"/>
      <c r="G565" s="1180"/>
      <c r="H565" s="1180"/>
      <c r="I565" s="1180"/>
      <c r="J565" s="1180" t="s">
        <v>1026</v>
      </c>
      <c r="K565" s="1180"/>
      <c r="L565" s="1180"/>
      <c r="AC565" s="1253"/>
    </row>
    <row r="566">
      <c r="B566" s="1180"/>
      <c r="C566" s="1180"/>
      <c r="D566" s="1180"/>
      <c r="E566" s="310"/>
      <c r="F566" s="1180"/>
      <c r="G566" s="1180"/>
      <c r="H566" s="1180"/>
      <c r="I566" s="1180"/>
      <c r="J566" s="1180" t="s">
        <v>1026</v>
      </c>
      <c r="K566" s="1180"/>
      <c r="L566" s="1180"/>
      <c r="AC566" s="1253"/>
    </row>
    <row r="567">
      <c r="B567" s="1180"/>
      <c r="C567" s="1180"/>
      <c r="D567" s="1180"/>
      <c r="E567" s="310"/>
      <c r="F567" s="1180"/>
      <c r="G567" s="1180"/>
      <c r="H567" s="1180"/>
      <c r="I567" s="1180"/>
      <c r="J567" s="1180" t="s">
        <v>1026</v>
      </c>
      <c r="K567" s="1180"/>
      <c r="L567" s="1180"/>
      <c r="AC567" s="1253"/>
    </row>
    <row r="568">
      <c r="B568" s="1180"/>
      <c r="C568" s="1180"/>
      <c r="D568" s="1180"/>
      <c r="E568" s="310"/>
      <c r="F568" s="1180"/>
      <c r="G568" s="1180"/>
      <c r="H568" s="1180"/>
      <c r="I568" s="1180"/>
      <c r="J568" s="1180" t="s">
        <v>1026</v>
      </c>
      <c r="K568" s="1180"/>
      <c r="L568" s="1180"/>
      <c r="AC568" s="1253"/>
    </row>
    <row r="569">
      <c r="B569" s="1180"/>
      <c r="C569" s="1180"/>
      <c r="D569" s="1180"/>
      <c r="E569" s="310"/>
      <c r="F569" s="1180"/>
      <c r="G569" s="1180"/>
      <c r="H569" s="1180"/>
      <c r="I569" s="1180"/>
      <c r="J569" s="1180" t="s">
        <v>1026</v>
      </c>
      <c r="K569" s="1180"/>
      <c r="L569" s="1180"/>
      <c r="AC569" s="1253"/>
    </row>
    <row r="570">
      <c r="B570" s="1180"/>
      <c r="C570" s="1180"/>
      <c r="D570" s="1180"/>
      <c r="E570" s="310"/>
      <c r="F570" s="1180"/>
      <c r="G570" s="1180"/>
      <c r="H570" s="1180"/>
      <c r="I570" s="1180"/>
      <c r="J570" s="1180" t="s">
        <v>1026</v>
      </c>
      <c r="K570" s="1180"/>
      <c r="L570" s="1180"/>
      <c r="AC570" s="1253"/>
    </row>
    <row r="571">
      <c r="B571" s="1180"/>
      <c r="C571" s="1180"/>
      <c r="D571" s="1180"/>
      <c r="E571" s="310"/>
      <c r="F571" s="1180"/>
      <c r="G571" s="1180"/>
      <c r="H571" s="1180"/>
      <c r="I571" s="1180"/>
      <c r="J571" s="1180" t="s">
        <v>1026</v>
      </c>
      <c r="K571" s="1180"/>
      <c r="L571" s="1180"/>
      <c r="AC571" s="1253"/>
    </row>
    <row r="572">
      <c r="B572" s="1180"/>
      <c r="C572" s="1180"/>
      <c r="D572" s="1180"/>
      <c r="E572" s="310"/>
      <c r="F572" s="1180"/>
      <c r="G572" s="1180"/>
      <c r="H572" s="1180"/>
      <c r="I572" s="1180"/>
      <c r="J572" s="1180" t="s">
        <v>1026</v>
      </c>
      <c r="K572" s="1180"/>
      <c r="L572" s="1180"/>
      <c r="AC572" s="1253"/>
    </row>
    <row r="573">
      <c r="B573" s="1180"/>
      <c r="C573" s="1180"/>
      <c r="D573" s="1180"/>
      <c r="E573" s="310"/>
      <c r="F573" s="1180"/>
      <c r="G573" s="1180"/>
      <c r="H573" s="1180"/>
      <c r="I573" s="1180"/>
      <c r="J573" s="1180" t="s">
        <v>1026</v>
      </c>
      <c r="K573" s="1180"/>
      <c r="L573" s="1180"/>
      <c r="AC573" s="1253"/>
    </row>
    <row r="574">
      <c r="B574" s="1180"/>
      <c r="C574" s="1180"/>
      <c r="D574" s="1180"/>
      <c r="E574" s="310"/>
      <c r="F574" s="1180"/>
      <c r="G574" s="1180"/>
      <c r="H574" s="1180"/>
      <c r="I574" s="1180"/>
      <c r="J574" s="1180" t="s">
        <v>1026</v>
      </c>
      <c r="K574" s="1180"/>
      <c r="L574" s="1180"/>
      <c r="AC574" s="1253"/>
    </row>
    <row r="575">
      <c r="B575" s="1180"/>
      <c r="C575" s="1180"/>
      <c r="D575" s="1180"/>
      <c r="E575" s="310"/>
      <c r="F575" s="1180"/>
      <c r="G575" s="1180"/>
      <c r="H575" s="1180"/>
      <c r="I575" s="1180"/>
      <c r="J575" s="1180" t="s">
        <v>1026</v>
      </c>
      <c r="K575" s="1180"/>
      <c r="L575" s="1180"/>
      <c r="AC575" s="1253"/>
    </row>
    <row r="576">
      <c r="B576" s="1180"/>
      <c r="C576" s="1180"/>
      <c r="D576" s="1180"/>
      <c r="E576" s="310"/>
      <c r="F576" s="1180"/>
      <c r="G576" s="1180"/>
      <c r="H576" s="1180"/>
      <c r="I576" s="1180"/>
      <c r="J576" s="1180" t="s">
        <v>1026</v>
      </c>
      <c r="K576" s="1180"/>
      <c r="L576" s="1180"/>
      <c r="AC576" s="1253"/>
    </row>
    <row r="577">
      <c r="B577" s="1180"/>
      <c r="C577" s="1180"/>
      <c r="D577" s="1180"/>
      <c r="E577" s="310"/>
      <c r="F577" s="1180"/>
      <c r="G577" s="1180"/>
      <c r="H577" s="1180"/>
      <c r="I577" s="1180"/>
      <c r="J577" s="1180" t="s">
        <v>1026</v>
      </c>
      <c r="K577" s="1180"/>
      <c r="L577" s="1180"/>
      <c r="AC577" s="1253"/>
    </row>
    <row r="578">
      <c r="B578" s="1180"/>
      <c r="C578" s="1180"/>
      <c r="D578" s="1180"/>
      <c r="E578" s="310"/>
      <c r="F578" s="1180"/>
      <c r="G578" s="1180"/>
      <c r="H578" s="1180"/>
      <c r="I578" s="1180"/>
      <c r="J578" s="1180" t="s">
        <v>1026</v>
      </c>
      <c r="K578" s="1180"/>
      <c r="L578" s="1180"/>
      <c r="AC578" s="1253"/>
    </row>
    <row r="579">
      <c r="B579" s="1180"/>
      <c r="C579" s="1180"/>
      <c r="D579" s="1180"/>
      <c r="E579" s="310"/>
      <c r="F579" s="1180"/>
      <c r="G579" s="1180"/>
      <c r="H579" s="1180"/>
      <c r="I579" s="1180"/>
      <c r="J579" s="1180" t="s">
        <v>1026</v>
      </c>
      <c r="K579" s="1180"/>
      <c r="L579" s="1180"/>
      <c r="AC579" s="1253"/>
    </row>
    <row r="580">
      <c r="B580" s="1180"/>
      <c r="C580" s="1180"/>
      <c r="D580" s="1180"/>
      <c r="E580" s="310"/>
      <c r="F580" s="1180"/>
      <c r="G580" s="1180"/>
      <c r="H580" s="1180"/>
      <c r="I580" s="1180"/>
      <c r="J580" s="1180" t="s">
        <v>1026</v>
      </c>
      <c r="K580" s="1180"/>
      <c r="L580" s="1180"/>
      <c r="AC580" s="1253"/>
    </row>
    <row r="581">
      <c r="B581" s="1180"/>
      <c r="C581" s="1180"/>
      <c r="D581" s="1180"/>
      <c r="E581" s="310"/>
      <c r="F581" s="1180"/>
      <c r="G581" s="1180"/>
      <c r="H581" s="1180"/>
      <c r="I581" s="1180"/>
      <c r="J581" s="1180" t="s">
        <v>1026</v>
      </c>
      <c r="K581" s="1180"/>
      <c r="L581" s="1180"/>
      <c r="AC581" s="1253"/>
    </row>
    <row r="582">
      <c r="B582" s="1180"/>
      <c r="C582" s="1180"/>
      <c r="D582" s="1180"/>
      <c r="E582" s="310"/>
      <c r="F582" s="1180"/>
      <c r="G582" s="1180"/>
      <c r="H582" s="1180"/>
      <c r="I582" s="1180"/>
      <c r="J582" s="1180" t="s">
        <v>1026</v>
      </c>
      <c r="K582" s="1180"/>
      <c r="L582" s="1180"/>
      <c r="AC582" s="1253"/>
    </row>
    <row r="583">
      <c r="B583" s="1180"/>
      <c r="C583" s="1180"/>
      <c r="D583" s="1180"/>
      <c r="E583" s="310"/>
      <c r="F583" s="1180"/>
      <c r="G583" s="1180"/>
      <c r="H583" s="1180"/>
      <c r="I583" s="1180"/>
      <c r="J583" s="1180" t="s">
        <v>1026</v>
      </c>
      <c r="K583" s="1180"/>
      <c r="L583" s="1180"/>
      <c r="AC583" s="1253"/>
    </row>
    <row r="584">
      <c r="B584" s="1180"/>
      <c r="C584" s="1180"/>
      <c r="D584" s="1180"/>
      <c r="E584" s="310"/>
      <c r="F584" s="1180"/>
      <c r="G584" s="1180"/>
      <c r="H584" s="1180"/>
      <c r="I584" s="1180"/>
      <c r="J584" s="1180" t="s">
        <v>1026</v>
      </c>
      <c r="K584" s="1180"/>
      <c r="L584" s="1180"/>
      <c r="AC584" s="1253"/>
    </row>
    <row r="585">
      <c r="B585" s="1180"/>
      <c r="C585" s="1180"/>
      <c r="D585" s="1180"/>
      <c r="E585" s="310"/>
      <c r="F585" s="1180"/>
      <c r="G585" s="1180"/>
      <c r="H585" s="1180"/>
      <c r="I585" s="1180"/>
      <c r="J585" s="1180" t="s">
        <v>1026</v>
      </c>
      <c r="K585" s="1180"/>
      <c r="L585" s="1180"/>
      <c r="AC585" s="1253"/>
    </row>
    <row r="586">
      <c r="B586" s="1180"/>
      <c r="C586" s="1180"/>
      <c r="D586" s="1180"/>
      <c r="E586" s="310"/>
      <c r="F586" s="1180"/>
      <c r="G586" s="1180"/>
      <c r="H586" s="1180"/>
      <c r="I586" s="1180"/>
      <c r="J586" s="1180" t="s">
        <v>1026</v>
      </c>
      <c r="K586" s="1180"/>
      <c r="L586" s="1180"/>
      <c r="AC586" s="1253"/>
    </row>
    <row r="587">
      <c r="B587" s="1180"/>
      <c r="C587" s="1180"/>
      <c r="D587" s="1180"/>
      <c r="E587" s="310"/>
      <c r="F587" s="1180"/>
      <c r="G587" s="1180"/>
      <c r="H587" s="1180"/>
      <c r="I587" s="1180"/>
      <c r="J587" s="1180" t="s">
        <v>1026</v>
      </c>
      <c r="K587" s="1180"/>
      <c r="L587" s="1180"/>
      <c r="AC587" s="1253"/>
    </row>
    <row r="588">
      <c r="B588" s="1180"/>
      <c r="C588" s="1180"/>
      <c r="D588" s="1180"/>
      <c r="E588" s="310"/>
      <c r="F588" s="1180"/>
      <c r="G588" s="1180"/>
      <c r="H588" s="1180"/>
      <c r="I588" s="1180"/>
      <c r="J588" s="1180" t="s">
        <v>1026</v>
      </c>
      <c r="K588" s="1180"/>
      <c r="L588" s="1180"/>
      <c r="AC588" s="1253"/>
    </row>
    <row r="589">
      <c r="B589" s="1180"/>
      <c r="C589" s="1180"/>
      <c r="D589" s="1180"/>
      <c r="E589" s="310"/>
      <c r="F589" s="1180"/>
      <c r="G589" s="1180"/>
      <c r="H589" s="1180"/>
      <c r="I589" s="1180"/>
      <c r="J589" s="1180" t="s">
        <v>1026</v>
      </c>
      <c r="K589" s="1180"/>
      <c r="L589" s="1180"/>
      <c r="AC589" s="1253"/>
    </row>
    <row r="590">
      <c r="B590" s="1180"/>
      <c r="C590" s="1180"/>
      <c r="D590" s="1180"/>
      <c r="E590" s="310"/>
      <c r="F590" s="1180"/>
      <c r="G590" s="1180"/>
      <c r="H590" s="1180"/>
      <c r="I590" s="1180"/>
      <c r="J590" s="1180" t="s">
        <v>1026</v>
      </c>
      <c r="K590" s="1180"/>
      <c r="L590" s="1180"/>
      <c r="AC590" s="1253"/>
    </row>
    <row r="591">
      <c r="B591" s="1180"/>
      <c r="C591" s="1180"/>
      <c r="D591" s="1180"/>
      <c r="E591" s="310"/>
      <c r="F591" s="1180"/>
      <c r="G591" s="1180"/>
      <c r="H591" s="1180"/>
      <c r="I591" s="1180"/>
      <c r="J591" s="1180" t="s">
        <v>1026</v>
      </c>
      <c r="K591" s="1180"/>
      <c r="L591" s="1180"/>
      <c r="AC591" s="1253"/>
    </row>
    <row r="592">
      <c r="B592" s="1180"/>
      <c r="C592" s="1180"/>
      <c r="D592" s="1180"/>
      <c r="E592" s="310"/>
      <c r="F592" s="1180"/>
      <c r="G592" s="1180"/>
      <c r="H592" s="1180"/>
      <c r="I592" s="1180"/>
      <c r="J592" s="1180" t="s">
        <v>1026</v>
      </c>
      <c r="K592" s="1180"/>
      <c r="L592" s="1180"/>
      <c r="AC592" s="1253"/>
    </row>
    <row r="593">
      <c r="B593" s="1180"/>
      <c r="C593" s="1180"/>
      <c r="D593" s="1180"/>
      <c r="E593" s="310"/>
      <c r="F593" s="1180"/>
      <c r="G593" s="1180"/>
      <c r="H593" s="1180"/>
      <c r="I593" s="1180"/>
      <c r="J593" s="1180" t="s">
        <v>1026</v>
      </c>
      <c r="K593" s="1180"/>
      <c r="L593" s="1180"/>
      <c r="AC593" s="1253"/>
    </row>
    <row r="594">
      <c r="B594" s="1180"/>
      <c r="C594" s="1180"/>
      <c r="D594" s="1180"/>
      <c r="E594" s="310"/>
      <c r="F594" s="1180"/>
      <c r="G594" s="1180"/>
      <c r="H594" s="1180"/>
      <c r="I594" s="1180"/>
      <c r="J594" s="1180" t="s">
        <v>1026</v>
      </c>
      <c r="K594" s="1180"/>
      <c r="L594" s="1180"/>
      <c r="AC594" s="1253"/>
    </row>
    <row r="595">
      <c r="B595" s="1180"/>
      <c r="C595" s="1180"/>
      <c r="D595" s="1180"/>
      <c r="E595" s="310"/>
      <c r="F595" s="1180"/>
      <c r="G595" s="1180"/>
      <c r="H595" s="1180"/>
      <c r="I595" s="1180"/>
      <c r="J595" s="1180" t="s">
        <v>1026</v>
      </c>
      <c r="K595" s="1180"/>
      <c r="L595" s="1180"/>
      <c r="AC595" s="1253"/>
    </row>
    <row r="596">
      <c r="B596" s="1180"/>
      <c r="C596" s="1180"/>
      <c r="D596" s="1180"/>
      <c r="E596" s="310"/>
      <c r="F596" s="1180"/>
      <c r="G596" s="1180"/>
      <c r="H596" s="1180"/>
      <c r="I596" s="1180"/>
      <c r="J596" s="1180" t="s">
        <v>1026</v>
      </c>
      <c r="K596" s="1180"/>
      <c r="L596" s="1180"/>
      <c r="AC596" s="1253"/>
    </row>
    <row r="597">
      <c r="B597" s="1180"/>
      <c r="C597" s="1180"/>
      <c r="D597" s="1180"/>
      <c r="E597" s="310"/>
      <c r="F597" s="1180"/>
      <c r="G597" s="1180"/>
      <c r="H597" s="1180"/>
      <c r="I597" s="1180"/>
      <c r="J597" s="1180" t="s">
        <v>1026</v>
      </c>
      <c r="K597" s="1180"/>
      <c r="L597" s="1180"/>
      <c r="AC597" s="1253"/>
    </row>
    <row r="598">
      <c r="B598" s="1180"/>
      <c r="C598" s="1180"/>
      <c r="D598" s="1180"/>
      <c r="E598" s="310"/>
      <c r="F598" s="1180"/>
      <c r="G598" s="1180"/>
      <c r="H598" s="1180"/>
      <c r="I598" s="1180"/>
      <c r="J598" s="1180" t="s">
        <v>1026</v>
      </c>
      <c r="K598" s="1180"/>
      <c r="L598" s="1180"/>
      <c r="AC598" s="1253"/>
    </row>
    <row r="599">
      <c r="B599" s="1180"/>
      <c r="C599" s="1180"/>
      <c r="D599" s="1180"/>
      <c r="E599" s="310"/>
      <c r="F599" s="1180"/>
      <c r="G599" s="1180"/>
      <c r="H599" s="1180"/>
      <c r="I599" s="1180"/>
      <c r="J599" s="1180" t="s">
        <v>1026</v>
      </c>
      <c r="K599" s="1180"/>
      <c r="L599" s="1180"/>
      <c r="AC599" s="1253"/>
    </row>
    <row r="600">
      <c r="B600" s="1180"/>
      <c r="C600" s="1180"/>
      <c r="D600" s="1180"/>
      <c r="E600" s="310"/>
      <c r="F600" s="1180"/>
      <c r="G600" s="1180"/>
      <c r="H600" s="1180"/>
      <c r="I600" s="1180"/>
      <c r="J600" s="1180" t="s">
        <v>1026</v>
      </c>
      <c r="K600" s="1180"/>
      <c r="L600" s="1180"/>
      <c r="AC600" s="1253"/>
    </row>
    <row r="601">
      <c r="B601" s="1180"/>
      <c r="C601" s="1180"/>
      <c r="D601" s="1180"/>
      <c r="E601" s="310"/>
      <c r="F601" s="1180"/>
      <c r="G601" s="1180"/>
      <c r="H601" s="1180"/>
      <c r="I601" s="1180"/>
      <c r="J601" s="1180" t="s">
        <v>1026</v>
      </c>
      <c r="K601" s="1180"/>
      <c r="L601" s="1180"/>
      <c r="AC601" s="1253"/>
    </row>
    <row r="602">
      <c r="B602" s="1180"/>
      <c r="C602" s="1180"/>
      <c r="D602" s="1180"/>
      <c r="E602" s="310"/>
      <c r="F602" s="1180"/>
      <c r="G602" s="1180"/>
      <c r="H602" s="1180"/>
      <c r="I602" s="1180"/>
      <c r="J602" s="1180" t="s">
        <v>1026</v>
      </c>
      <c r="K602" s="1180"/>
      <c r="L602" s="1180"/>
      <c r="AC602" s="1253"/>
    </row>
    <row r="603">
      <c r="B603" s="1180"/>
      <c r="C603" s="1180"/>
      <c r="D603" s="1180"/>
      <c r="E603" s="310"/>
      <c r="F603" s="1180"/>
      <c r="G603" s="1180"/>
      <c r="H603" s="1180"/>
      <c r="I603" s="1180"/>
      <c r="J603" s="1180" t="s">
        <v>1026</v>
      </c>
      <c r="K603" s="1180"/>
      <c r="L603" s="1180"/>
      <c r="AC603" s="1253"/>
    </row>
    <row r="604">
      <c r="B604" s="1180"/>
      <c r="C604" s="1180"/>
      <c r="D604" s="1180"/>
      <c r="E604" s="310"/>
      <c r="F604" s="1180"/>
      <c r="G604" s="1180"/>
      <c r="H604" s="1180"/>
      <c r="I604" s="1180"/>
      <c r="J604" s="1180" t="s">
        <v>1026</v>
      </c>
      <c r="K604" s="1180"/>
      <c r="L604" s="1180"/>
      <c r="AC604" s="1253"/>
    </row>
    <row r="605">
      <c r="B605" s="1180"/>
      <c r="C605" s="1180"/>
      <c r="D605" s="1180"/>
      <c r="E605" s="310"/>
      <c r="F605" s="1180"/>
      <c r="G605" s="1180"/>
      <c r="H605" s="1180"/>
      <c r="I605" s="1180"/>
      <c r="J605" s="1180" t="s">
        <v>1026</v>
      </c>
      <c r="K605" s="1180"/>
      <c r="L605" s="1180"/>
      <c r="AC605" s="1253"/>
    </row>
    <row r="606">
      <c r="B606" s="1180"/>
      <c r="C606" s="1180"/>
      <c r="D606" s="1180"/>
      <c r="E606" s="310"/>
      <c r="F606" s="1180"/>
      <c r="G606" s="1180"/>
      <c r="H606" s="1180"/>
      <c r="I606" s="1180"/>
      <c r="J606" s="1180" t="s">
        <v>1026</v>
      </c>
      <c r="K606" s="1180"/>
      <c r="L606" s="1180"/>
      <c r="AC606" s="1253"/>
    </row>
    <row r="607">
      <c r="B607" s="1180"/>
      <c r="C607" s="1180"/>
      <c r="D607" s="1180"/>
      <c r="E607" s="310"/>
      <c r="F607" s="1180"/>
      <c r="G607" s="1180"/>
      <c r="H607" s="1180"/>
      <c r="I607" s="1180"/>
      <c r="J607" s="1180" t="s">
        <v>1026</v>
      </c>
      <c r="K607" s="1180"/>
      <c r="L607" s="1180"/>
      <c r="AC607" s="1253"/>
    </row>
    <row r="608">
      <c r="B608" s="1180"/>
      <c r="C608" s="1180"/>
      <c r="D608" s="1180"/>
      <c r="E608" s="310"/>
      <c r="F608" s="1180"/>
      <c r="G608" s="1180"/>
      <c r="H608" s="1180"/>
      <c r="I608" s="1180"/>
      <c r="J608" s="1180" t="s">
        <v>1026</v>
      </c>
      <c r="K608" s="1180"/>
      <c r="L608" s="1180"/>
      <c r="AC608" s="1253"/>
    </row>
    <row r="609">
      <c r="B609" s="1180"/>
      <c r="C609" s="1180"/>
      <c r="D609" s="1180"/>
      <c r="E609" s="310"/>
      <c r="F609" s="1180"/>
      <c r="G609" s="1180"/>
      <c r="H609" s="1180"/>
      <c r="I609" s="1180"/>
      <c r="J609" s="1180" t="s">
        <v>1026</v>
      </c>
      <c r="K609" s="1180"/>
      <c r="L609" s="1180"/>
      <c r="AC609" s="1253"/>
    </row>
    <row r="610">
      <c r="B610" s="1180"/>
      <c r="C610" s="1180"/>
      <c r="D610" s="1180"/>
      <c r="E610" s="310"/>
      <c r="F610" s="1180"/>
      <c r="G610" s="1180"/>
      <c r="H610" s="1180"/>
      <c r="I610" s="1180"/>
      <c r="J610" s="1180" t="s">
        <v>1026</v>
      </c>
      <c r="K610" s="1180"/>
      <c r="L610" s="1180"/>
      <c r="AC610" s="1253"/>
    </row>
    <row r="611">
      <c r="B611" s="1180"/>
      <c r="C611" s="1180"/>
      <c r="D611" s="1180"/>
      <c r="E611" s="310"/>
      <c r="F611" s="1180"/>
      <c r="G611" s="1180"/>
      <c r="H611" s="1180"/>
      <c r="I611" s="1180"/>
      <c r="J611" s="1180" t="s">
        <v>1026</v>
      </c>
      <c r="K611" s="1180"/>
      <c r="L611" s="1180"/>
      <c r="AC611" s="1253"/>
    </row>
    <row r="612">
      <c r="B612" s="1180"/>
      <c r="C612" s="1180"/>
      <c r="D612" s="1180"/>
      <c r="E612" s="310"/>
      <c r="F612" s="1180"/>
      <c r="G612" s="1180"/>
      <c r="H612" s="1180"/>
      <c r="I612" s="1180"/>
      <c r="J612" s="1180" t="s">
        <v>1026</v>
      </c>
      <c r="K612" s="1180"/>
      <c r="L612" s="1180"/>
      <c r="AC612" s="1253"/>
    </row>
    <row r="613">
      <c r="B613" s="1180"/>
      <c r="C613" s="1180"/>
      <c r="D613" s="1180"/>
      <c r="E613" s="310"/>
      <c r="F613" s="1180"/>
      <c r="G613" s="1180"/>
      <c r="H613" s="1180"/>
      <c r="I613" s="1180"/>
      <c r="J613" s="1180" t="s">
        <v>1026</v>
      </c>
      <c r="K613" s="1180"/>
      <c r="L613" s="1180"/>
      <c r="AC613" s="1253"/>
    </row>
    <row r="614">
      <c r="B614" s="1180"/>
      <c r="C614" s="1180"/>
      <c r="D614" s="1180"/>
      <c r="E614" s="310"/>
      <c r="F614" s="1180"/>
      <c r="G614" s="1180"/>
      <c r="H614" s="1180"/>
      <c r="I614" s="1180"/>
      <c r="J614" s="1180" t="s">
        <v>1026</v>
      </c>
      <c r="K614" s="1180"/>
      <c r="L614" s="1180"/>
      <c r="AC614" s="1253"/>
    </row>
    <row r="615">
      <c r="B615" s="1180"/>
      <c r="C615" s="1180"/>
      <c r="D615" s="1180"/>
      <c r="E615" s="310"/>
      <c r="F615" s="1180"/>
      <c r="G615" s="1180"/>
      <c r="H615" s="1180"/>
      <c r="I615" s="1180"/>
      <c r="J615" s="1180" t="s">
        <v>1026</v>
      </c>
      <c r="K615" s="1180"/>
      <c r="L615" s="1180"/>
      <c r="AC615" s="1253"/>
    </row>
    <row r="616">
      <c r="B616" s="1180"/>
      <c r="C616" s="1180"/>
      <c r="D616" s="1180"/>
      <c r="E616" s="310"/>
      <c r="F616" s="1180"/>
      <c r="G616" s="1180"/>
      <c r="H616" s="1180"/>
      <c r="I616" s="1180"/>
      <c r="J616" s="1180" t="s">
        <v>1026</v>
      </c>
      <c r="K616" s="1180"/>
      <c r="L616" s="1180"/>
      <c r="AC616" s="1253"/>
    </row>
    <row r="617">
      <c r="B617" s="1180"/>
      <c r="C617" s="1180"/>
      <c r="D617" s="1180"/>
      <c r="E617" s="310"/>
      <c r="F617" s="1180"/>
      <c r="G617" s="1180"/>
      <c r="H617" s="1180"/>
      <c r="I617" s="1180"/>
      <c r="J617" s="1180" t="s">
        <v>1026</v>
      </c>
      <c r="K617" s="1180"/>
      <c r="L617" s="1180"/>
      <c r="AC617" s="1253"/>
    </row>
    <row r="618">
      <c r="B618" s="1180"/>
      <c r="C618" s="1180"/>
      <c r="D618" s="1180"/>
      <c r="E618" s="310"/>
      <c r="F618" s="1180"/>
      <c r="G618" s="1180"/>
      <c r="H618" s="1180"/>
      <c r="I618" s="1180"/>
      <c r="J618" s="1180" t="s">
        <v>1026</v>
      </c>
      <c r="K618" s="1180"/>
      <c r="L618" s="1180"/>
      <c r="AC618" s="1253"/>
    </row>
    <row r="619">
      <c r="B619" s="1180"/>
      <c r="C619" s="1180"/>
      <c r="D619" s="1180"/>
      <c r="E619" s="310"/>
      <c r="F619" s="1180"/>
      <c r="G619" s="1180"/>
      <c r="H619" s="1180"/>
      <c r="I619" s="1180"/>
      <c r="J619" s="1180" t="s">
        <v>1026</v>
      </c>
      <c r="K619" s="1180"/>
      <c r="L619" s="1180"/>
      <c r="AC619" s="1253"/>
    </row>
    <row r="620">
      <c r="B620" s="1180"/>
      <c r="C620" s="1180"/>
      <c r="D620" s="1180"/>
      <c r="E620" s="310"/>
      <c r="F620" s="1180"/>
      <c r="G620" s="1180"/>
      <c r="H620" s="1180"/>
      <c r="I620" s="1180"/>
      <c r="J620" s="1180" t="s">
        <v>1026</v>
      </c>
      <c r="K620" s="1180"/>
      <c r="L620" s="1180"/>
      <c r="AC620" s="1253"/>
    </row>
    <row r="621">
      <c r="B621" s="1180"/>
      <c r="C621" s="1180"/>
      <c r="D621" s="1180"/>
      <c r="E621" s="310"/>
      <c r="F621" s="1180"/>
      <c r="G621" s="1180"/>
      <c r="H621" s="1180"/>
      <c r="I621" s="1180"/>
      <c r="J621" s="1180" t="s">
        <v>1026</v>
      </c>
      <c r="K621" s="1180"/>
      <c r="L621" s="1180"/>
      <c r="AC621" s="1253"/>
    </row>
    <row r="622">
      <c r="B622" s="1180"/>
      <c r="C622" s="1180"/>
      <c r="D622" s="1180"/>
      <c r="E622" s="310"/>
      <c r="F622" s="1180"/>
      <c r="G622" s="1180"/>
      <c r="H622" s="1180"/>
      <c r="I622" s="1180"/>
      <c r="J622" s="1180" t="s">
        <v>1026</v>
      </c>
      <c r="K622" s="1180"/>
      <c r="L622" s="1180"/>
      <c r="AC622" s="1253"/>
    </row>
    <row r="623">
      <c r="B623" s="1180"/>
      <c r="C623" s="1180"/>
      <c r="D623" s="1180"/>
      <c r="E623" s="310"/>
      <c r="F623" s="1180"/>
      <c r="G623" s="1180"/>
      <c r="H623" s="1180"/>
      <c r="I623" s="1180"/>
      <c r="J623" s="1180" t="s">
        <v>1026</v>
      </c>
      <c r="K623" s="1180"/>
      <c r="L623" s="1180"/>
      <c r="AC623" s="1253"/>
    </row>
    <row r="624">
      <c r="B624" s="1180"/>
      <c r="C624" s="1180"/>
      <c r="D624" s="1180"/>
      <c r="E624" s="310"/>
      <c r="F624" s="1180"/>
      <c r="G624" s="1180"/>
      <c r="H624" s="1180"/>
      <c r="I624" s="1180"/>
      <c r="J624" s="1180" t="s">
        <v>1026</v>
      </c>
      <c r="K624" s="1180"/>
      <c r="L624" s="1180"/>
      <c r="AC624" s="1253"/>
    </row>
    <row r="625">
      <c r="B625" s="1180"/>
      <c r="C625" s="1180"/>
      <c r="D625" s="1180"/>
      <c r="E625" s="310"/>
      <c r="F625" s="1180"/>
      <c r="G625" s="1180"/>
      <c r="H625" s="1180"/>
      <c r="I625" s="1180"/>
      <c r="J625" s="1180" t="s">
        <v>1026</v>
      </c>
      <c r="K625" s="1180"/>
      <c r="L625" s="1180"/>
      <c r="AC625" s="1253"/>
    </row>
    <row r="626">
      <c r="B626" s="1180"/>
      <c r="C626" s="1180"/>
      <c r="D626" s="1180"/>
      <c r="E626" s="310"/>
      <c r="F626" s="1180"/>
      <c r="G626" s="1180"/>
      <c r="H626" s="1180"/>
      <c r="I626" s="1180"/>
      <c r="J626" s="1180" t="s">
        <v>1026</v>
      </c>
      <c r="K626" s="1180"/>
      <c r="L626" s="1180"/>
      <c r="AC626" s="1253"/>
    </row>
    <row r="627">
      <c r="B627" s="1180"/>
      <c r="C627" s="1180"/>
      <c r="D627" s="1180"/>
      <c r="E627" s="310"/>
      <c r="F627" s="1180"/>
      <c r="G627" s="1180"/>
      <c r="H627" s="1180"/>
      <c r="I627" s="1180"/>
      <c r="J627" s="1180" t="s">
        <v>1026</v>
      </c>
      <c r="K627" s="1180"/>
      <c r="L627" s="1180"/>
      <c r="AC627" s="1253"/>
    </row>
    <row r="628">
      <c r="B628" s="1180"/>
      <c r="C628" s="1180"/>
      <c r="D628" s="1180"/>
      <c r="E628" s="310"/>
      <c r="F628" s="1180"/>
      <c r="G628" s="1180"/>
      <c r="H628" s="1180"/>
      <c r="I628" s="1180"/>
      <c r="J628" s="1180" t="s">
        <v>1026</v>
      </c>
      <c r="K628" s="1180"/>
      <c r="L628" s="1180"/>
      <c r="AC628" s="1253"/>
    </row>
    <row r="629">
      <c r="B629" s="1180"/>
      <c r="C629" s="1180"/>
      <c r="D629" s="1180"/>
      <c r="E629" s="310"/>
      <c r="F629" s="1180"/>
      <c r="G629" s="1180"/>
      <c r="H629" s="1180"/>
      <c r="I629" s="1180"/>
      <c r="J629" s="1180" t="s">
        <v>1026</v>
      </c>
      <c r="K629" s="1180"/>
      <c r="L629" s="1180"/>
      <c r="AC629" s="1253"/>
    </row>
    <row r="630">
      <c r="B630" s="1180"/>
      <c r="C630" s="1180"/>
      <c r="D630" s="1180"/>
      <c r="E630" s="310"/>
      <c r="F630" s="1180"/>
      <c r="G630" s="1180"/>
      <c r="H630" s="1180"/>
      <c r="I630" s="1180"/>
      <c r="J630" s="1180" t="s">
        <v>1026</v>
      </c>
      <c r="K630" s="1180"/>
      <c r="L630" s="1180"/>
      <c r="AC630" s="1253"/>
    </row>
    <row r="631">
      <c r="B631" s="1180"/>
      <c r="C631" s="1180"/>
      <c r="D631" s="1180"/>
      <c r="E631" s="310"/>
      <c r="F631" s="1180"/>
      <c r="G631" s="1180"/>
      <c r="H631" s="1180"/>
      <c r="I631" s="1180"/>
      <c r="J631" s="1180" t="s">
        <v>1026</v>
      </c>
      <c r="K631" s="1180"/>
      <c r="L631" s="1180"/>
      <c r="AC631" s="1253"/>
    </row>
    <row r="632">
      <c r="B632" s="1180"/>
      <c r="C632" s="1180"/>
      <c r="D632" s="1180"/>
      <c r="E632" s="310"/>
      <c r="F632" s="1180"/>
      <c r="G632" s="1180"/>
      <c r="H632" s="1180"/>
      <c r="I632" s="1180"/>
      <c r="J632" s="1180" t="s">
        <v>1026</v>
      </c>
      <c r="K632" s="1180"/>
      <c r="L632" s="1180"/>
      <c r="AC632" s="1253"/>
    </row>
    <row r="633">
      <c r="B633" s="1180"/>
      <c r="C633" s="1180"/>
      <c r="D633" s="1180"/>
      <c r="E633" s="310"/>
      <c r="F633" s="1180"/>
      <c r="G633" s="1180"/>
      <c r="H633" s="1180"/>
      <c r="I633" s="1180"/>
      <c r="J633" s="1180" t="s">
        <v>1026</v>
      </c>
      <c r="K633" s="1180"/>
      <c r="L633" s="1180"/>
      <c r="AC633" s="1253"/>
    </row>
    <row r="634">
      <c r="B634" s="1180"/>
      <c r="C634" s="1180"/>
      <c r="D634" s="1180"/>
      <c r="E634" s="310"/>
      <c r="F634" s="1180"/>
      <c r="G634" s="1180"/>
      <c r="H634" s="1180"/>
      <c r="I634" s="1180"/>
      <c r="J634" s="1180" t="s">
        <v>1026</v>
      </c>
      <c r="K634" s="1180"/>
      <c r="L634" s="1180"/>
      <c r="AC634" s="1253"/>
    </row>
    <row r="635">
      <c r="B635" s="1180"/>
      <c r="C635" s="1180"/>
      <c r="D635" s="1180"/>
      <c r="E635" s="310"/>
      <c r="F635" s="1180"/>
      <c r="G635" s="1180"/>
      <c r="H635" s="1180"/>
      <c r="I635" s="1180"/>
      <c r="J635" s="1180" t="s">
        <v>1026</v>
      </c>
      <c r="K635" s="1180"/>
      <c r="L635" s="1180"/>
      <c r="AC635" s="1253"/>
    </row>
    <row r="636">
      <c r="B636" s="1180"/>
      <c r="C636" s="1180"/>
      <c r="D636" s="1180"/>
      <c r="E636" s="310"/>
      <c r="F636" s="1180"/>
      <c r="G636" s="1180"/>
      <c r="H636" s="1180"/>
      <c r="I636" s="1180"/>
      <c r="J636" s="1180" t="s">
        <v>1026</v>
      </c>
      <c r="K636" s="1180"/>
      <c r="L636" s="1180"/>
      <c r="AC636" s="1253"/>
    </row>
    <row r="637">
      <c r="B637" s="1180"/>
      <c r="C637" s="1180"/>
      <c r="D637" s="1180"/>
      <c r="E637" s="310"/>
      <c r="F637" s="1180"/>
      <c r="G637" s="1180"/>
      <c r="H637" s="1180"/>
      <c r="I637" s="1180"/>
      <c r="J637" s="1180" t="s">
        <v>1026</v>
      </c>
      <c r="K637" s="1180"/>
      <c r="L637" s="1180"/>
      <c r="AC637" s="1253"/>
    </row>
    <row r="638">
      <c r="B638" s="1180"/>
      <c r="C638" s="1180"/>
      <c r="D638" s="1180"/>
      <c r="E638" s="310"/>
      <c r="F638" s="1180"/>
      <c r="G638" s="1180"/>
      <c r="H638" s="1180"/>
      <c r="I638" s="1180"/>
      <c r="J638" s="1180" t="s">
        <v>1026</v>
      </c>
      <c r="K638" s="1180"/>
      <c r="L638" s="1180"/>
      <c r="AC638" s="1253"/>
    </row>
    <row r="639">
      <c r="B639" s="1180"/>
      <c r="C639" s="1180"/>
      <c r="D639" s="1180"/>
      <c r="E639" s="310"/>
      <c r="F639" s="1180"/>
      <c r="G639" s="1180"/>
      <c r="H639" s="1180"/>
      <c r="I639" s="1180"/>
      <c r="J639" s="1180" t="s">
        <v>1026</v>
      </c>
      <c r="K639" s="1180"/>
      <c r="L639" s="1180"/>
      <c r="AC639" s="1253"/>
    </row>
    <row r="640">
      <c r="B640" s="1180"/>
      <c r="C640" s="1180"/>
      <c r="D640" s="1180"/>
      <c r="E640" s="310"/>
      <c r="F640" s="1180"/>
      <c r="G640" s="1180"/>
      <c r="H640" s="1180"/>
      <c r="I640" s="1180"/>
      <c r="J640" s="1180" t="s">
        <v>1026</v>
      </c>
      <c r="K640" s="1180"/>
      <c r="L640" s="1180"/>
      <c r="AC640" s="1253"/>
    </row>
    <row r="641">
      <c r="B641" s="1180"/>
      <c r="C641" s="1180"/>
      <c r="D641" s="1180"/>
      <c r="E641" s="310"/>
      <c r="F641" s="1180"/>
      <c r="G641" s="1180"/>
      <c r="H641" s="1180"/>
      <c r="I641" s="1180"/>
      <c r="J641" s="1180" t="s">
        <v>1026</v>
      </c>
      <c r="K641" s="1180"/>
      <c r="L641" s="1180"/>
      <c r="AC641" s="1253"/>
    </row>
    <row r="642">
      <c r="B642" s="1180"/>
      <c r="C642" s="1180"/>
      <c r="D642" s="1180"/>
      <c r="E642" s="310"/>
      <c r="F642" s="1180"/>
      <c r="G642" s="1180"/>
      <c r="H642" s="1180"/>
      <c r="I642" s="1180"/>
      <c r="J642" s="1180" t="s">
        <v>1026</v>
      </c>
      <c r="K642" s="1180"/>
      <c r="L642" s="1180"/>
      <c r="AC642" s="1253"/>
    </row>
    <row r="643">
      <c r="B643" s="1180"/>
      <c r="C643" s="1180"/>
      <c r="D643" s="1180"/>
      <c r="E643" s="310"/>
      <c r="F643" s="1180"/>
      <c r="G643" s="1180"/>
      <c r="H643" s="1180"/>
      <c r="I643" s="1180"/>
      <c r="J643" s="1180" t="s">
        <v>1026</v>
      </c>
      <c r="K643" s="1180"/>
      <c r="L643" s="1180"/>
      <c r="AC643" s="1253"/>
    </row>
    <row r="644">
      <c r="B644" s="1180"/>
      <c r="C644" s="1180"/>
      <c r="D644" s="1180"/>
      <c r="E644" s="310"/>
      <c r="F644" s="1180"/>
      <c r="G644" s="1180"/>
      <c r="H644" s="1180"/>
      <c r="I644" s="1180"/>
      <c r="J644" s="1180" t="s">
        <v>1026</v>
      </c>
      <c r="K644" s="1180"/>
      <c r="L644" s="1180"/>
      <c r="AC644" s="1253"/>
    </row>
    <row r="645">
      <c r="B645" s="1180"/>
      <c r="C645" s="1180"/>
      <c r="D645" s="1180"/>
      <c r="E645" s="310"/>
      <c r="F645" s="1180"/>
      <c r="G645" s="1180"/>
      <c r="H645" s="1180"/>
      <c r="I645" s="1180"/>
      <c r="J645" s="1180" t="s">
        <v>1026</v>
      </c>
      <c r="K645" s="1180"/>
      <c r="L645" s="1180"/>
      <c r="AC645" s="1253"/>
    </row>
    <row r="646">
      <c r="B646" s="1180"/>
      <c r="C646" s="1180"/>
      <c r="D646" s="1180"/>
      <c r="E646" s="310"/>
      <c r="F646" s="1180"/>
      <c r="G646" s="1180"/>
      <c r="H646" s="1180"/>
      <c r="I646" s="1180"/>
      <c r="J646" s="1180" t="s">
        <v>1026</v>
      </c>
      <c r="K646" s="1180"/>
      <c r="L646" s="1180"/>
      <c r="AC646" s="1253"/>
    </row>
    <row r="647">
      <c r="B647" s="1180"/>
      <c r="C647" s="1180"/>
      <c r="D647" s="1180"/>
      <c r="E647" s="310"/>
      <c r="F647" s="1180"/>
      <c r="G647" s="1180"/>
      <c r="H647" s="1180"/>
      <c r="I647" s="1180"/>
      <c r="J647" s="1180" t="s">
        <v>1026</v>
      </c>
      <c r="K647" s="1180"/>
      <c r="L647" s="1180"/>
      <c r="AC647" s="1253"/>
    </row>
    <row r="648">
      <c r="B648" s="1180"/>
      <c r="C648" s="1180"/>
      <c r="D648" s="1180"/>
      <c r="E648" s="310"/>
      <c r="F648" s="1180"/>
      <c r="G648" s="1180"/>
      <c r="H648" s="1180"/>
      <c r="I648" s="1180"/>
      <c r="J648" s="1180" t="s">
        <v>1026</v>
      </c>
      <c r="K648" s="1180"/>
      <c r="L648" s="1180"/>
      <c r="AC648" s="1253"/>
    </row>
    <row r="649">
      <c r="B649" s="1180"/>
      <c r="C649" s="1180"/>
      <c r="D649" s="1180"/>
      <c r="E649" s="310"/>
      <c r="F649" s="1180"/>
      <c r="G649" s="1180"/>
      <c r="H649" s="1180"/>
      <c r="I649" s="1180"/>
      <c r="J649" s="1180" t="s">
        <v>1026</v>
      </c>
      <c r="K649" s="1180"/>
      <c r="L649" s="1180"/>
      <c r="AC649" s="1253"/>
    </row>
    <row r="650">
      <c r="B650" s="1180"/>
      <c r="C650" s="1180"/>
      <c r="D650" s="1180"/>
      <c r="E650" s="310"/>
      <c r="F650" s="1180"/>
      <c r="G650" s="1180"/>
      <c r="H650" s="1180"/>
      <c r="I650" s="1180"/>
      <c r="J650" s="1180" t="s">
        <v>1026</v>
      </c>
      <c r="K650" s="1180"/>
      <c r="L650" s="1180"/>
      <c r="AC650" s="1253"/>
    </row>
    <row r="651">
      <c r="B651" s="1180"/>
      <c r="C651" s="1180"/>
      <c r="D651" s="1180"/>
      <c r="E651" s="310"/>
      <c r="F651" s="1180"/>
      <c r="G651" s="1180"/>
      <c r="H651" s="1180"/>
      <c r="I651" s="1180"/>
      <c r="J651" s="1180" t="s">
        <v>1026</v>
      </c>
      <c r="K651" s="1180"/>
      <c r="L651" s="1180"/>
      <c r="AC651" s="1253"/>
    </row>
    <row r="652">
      <c r="B652" s="1180"/>
      <c r="C652" s="1180"/>
      <c r="D652" s="1180"/>
      <c r="E652" s="310"/>
      <c r="F652" s="1180"/>
      <c r="G652" s="1180"/>
      <c r="H652" s="1180"/>
      <c r="I652" s="1180"/>
      <c r="J652" s="1180" t="s">
        <v>1026</v>
      </c>
      <c r="K652" s="1180"/>
      <c r="L652" s="1180"/>
      <c r="AC652" s="1253"/>
    </row>
    <row r="653">
      <c r="B653" s="1180"/>
      <c r="C653" s="1180"/>
      <c r="D653" s="1180"/>
      <c r="E653" s="310"/>
      <c r="F653" s="1180"/>
      <c r="G653" s="1180"/>
      <c r="H653" s="1180"/>
      <c r="I653" s="1180"/>
      <c r="J653" s="1180" t="s">
        <v>1026</v>
      </c>
      <c r="K653" s="1180"/>
      <c r="L653" s="1180"/>
      <c r="AC653" s="1253"/>
    </row>
    <row r="654">
      <c r="B654" s="1180"/>
      <c r="C654" s="1180"/>
      <c r="D654" s="1180"/>
      <c r="E654" s="310"/>
      <c r="F654" s="1180"/>
      <c r="G654" s="1180"/>
      <c r="H654" s="1180"/>
      <c r="I654" s="1180"/>
      <c r="J654" s="1180" t="s">
        <v>1026</v>
      </c>
      <c r="K654" s="1180"/>
      <c r="L654" s="1180"/>
      <c r="AC654" s="1253"/>
    </row>
    <row r="655">
      <c r="B655" s="1180"/>
      <c r="C655" s="1180"/>
      <c r="D655" s="1180"/>
      <c r="E655" s="310"/>
      <c r="F655" s="1180"/>
      <c r="G655" s="1180"/>
      <c r="H655" s="1180"/>
      <c r="I655" s="1180"/>
      <c r="J655" s="1180" t="s">
        <v>1026</v>
      </c>
      <c r="K655" s="1180"/>
      <c r="L655" s="1180"/>
      <c r="AC655" s="1253"/>
    </row>
    <row r="656">
      <c r="B656" s="1180"/>
      <c r="C656" s="1180"/>
      <c r="D656" s="1180"/>
      <c r="E656" s="310"/>
      <c r="F656" s="1180"/>
      <c r="G656" s="1180"/>
      <c r="H656" s="1180"/>
      <c r="I656" s="1180"/>
      <c r="J656" s="1180" t="s">
        <v>1026</v>
      </c>
      <c r="K656" s="1180"/>
      <c r="L656" s="1180"/>
      <c r="AC656" s="1253"/>
    </row>
    <row r="657">
      <c r="B657" s="1180"/>
      <c r="C657" s="1180"/>
      <c r="D657" s="1180"/>
      <c r="E657" s="310"/>
      <c r="F657" s="1180"/>
      <c r="G657" s="1180"/>
      <c r="H657" s="1180"/>
      <c r="I657" s="1180"/>
      <c r="J657" s="1180" t="s">
        <v>1026</v>
      </c>
      <c r="K657" s="1180"/>
      <c r="L657" s="1180"/>
      <c r="AC657" s="1253"/>
    </row>
    <row r="658">
      <c r="B658" s="1180"/>
      <c r="C658" s="1180"/>
      <c r="D658" s="1180"/>
      <c r="E658" s="310"/>
      <c r="F658" s="1180"/>
      <c r="G658" s="1180"/>
      <c r="H658" s="1180"/>
      <c r="I658" s="1180"/>
      <c r="J658" s="1180" t="s">
        <v>1026</v>
      </c>
      <c r="K658" s="1180"/>
      <c r="L658" s="1180"/>
      <c r="AC658" s="1253"/>
    </row>
    <row r="659">
      <c r="B659" s="1180"/>
      <c r="C659" s="1180"/>
      <c r="D659" s="1180"/>
      <c r="E659" s="310"/>
      <c r="F659" s="1180"/>
      <c r="G659" s="1180"/>
      <c r="H659" s="1180"/>
      <c r="I659" s="1180"/>
      <c r="J659" s="1180" t="s">
        <v>1026</v>
      </c>
      <c r="K659" s="1180"/>
      <c r="L659" s="1180"/>
      <c r="AC659" s="1253"/>
    </row>
    <row r="660">
      <c r="B660" s="1180"/>
      <c r="C660" s="1180"/>
      <c r="D660" s="1180"/>
      <c r="E660" s="310"/>
      <c r="F660" s="1180"/>
      <c r="G660" s="1180"/>
      <c r="H660" s="1180"/>
      <c r="I660" s="1180"/>
      <c r="J660" s="1180" t="s">
        <v>1026</v>
      </c>
      <c r="K660" s="1180"/>
      <c r="L660" s="1180"/>
      <c r="AC660" s="1253"/>
    </row>
    <row r="661">
      <c r="B661" s="1180"/>
      <c r="C661" s="1180"/>
      <c r="D661" s="1180"/>
      <c r="E661" s="310"/>
      <c r="F661" s="1180"/>
      <c r="G661" s="1180"/>
      <c r="H661" s="1180"/>
      <c r="I661" s="1180"/>
      <c r="J661" s="1180" t="s">
        <v>1026</v>
      </c>
      <c r="K661" s="1180"/>
      <c r="L661" s="1180"/>
      <c r="AC661" s="1253"/>
    </row>
    <row r="662">
      <c r="B662" s="1180"/>
      <c r="C662" s="1180"/>
      <c r="D662" s="1180"/>
      <c r="E662" s="310"/>
      <c r="F662" s="1180"/>
      <c r="G662" s="1180"/>
      <c r="H662" s="1180"/>
      <c r="I662" s="1180"/>
      <c r="J662" s="1180" t="s">
        <v>1026</v>
      </c>
      <c r="K662" s="1180"/>
      <c r="L662" s="1180"/>
      <c r="AC662" s="1253"/>
    </row>
    <row r="663">
      <c r="B663" s="1180"/>
      <c r="C663" s="1180"/>
      <c r="D663" s="1180"/>
      <c r="E663" s="310"/>
      <c r="F663" s="1180"/>
      <c r="G663" s="1180"/>
      <c r="H663" s="1180"/>
      <c r="I663" s="1180"/>
      <c r="J663" s="1180" t="s">
        <v>1026</v>
      </c>
      <c r="K663" s="1180"/>
      <c r="L663" s="1180"/>
      <c r="AC663" s="1253"/>
    </row>
    <row r="664">
      <c r="B664" s="1180"/>
      <c r="C664" s="1180"/>
      <c r="D664" s="1180"/>
      <c r="E664" s="310"/>
      <c r="F664" s="1180"/>
      <c r="G664" s="1180"/>
      <c r="H664" s="1180"/>
      <c r="I664" s="1180"/>
      <c r="J664" s="1180" t="s">
        <v>1026</v>
      </c>
      <c r="K664" s="1180"/>
      <c r="L664" s="1180"/>
      <c r="AC664" s="1253"/>
    </row>
    <row r="665">
      <c r="B665" s="1180"/>
      <c r="C665" s="1180"/>
      <c r="D665" s="1180"/>
      <c r="E665" s="310"/>
      <c r="F665" s="1180"/>
      <c r="G665" s="1180"/>
      <c r="H665" s="1180"/>
      <c r="I665" s="1180"/>
      <c r="J665" s="1180" t="s">
        <v>1026</v>
      </c>
      <c r="K665" s="1180"/>
      <c r="L665" s="1180"/>
      <c r="AC665" s="1253"/>
    </row>
    <row r="666">
      <c r="B666" s="1180"/>
      <c r="C666" s="1180"/>
      <c r="D666" s="1180"/>
      <c r="E666" s="310"/>
      <c r="F666" s="1180"/>
      <c r="G666" s="1180"/>
      <c r="H666" s="1180"/>
      <c r="I666" s="1180"/>
      <c r="J666" s="1180" t="s">
        <v>1026</v>
      </c>
      <c r="K666" s="1180"/>
      <c r="L666" s="1180"/>
      <c r="AC666" s="1253"/>
    </row>
    <row r="667">
      <c r="B667" s="1180"/>
      <c r="C667" s="1180"/>
      <c r="D667" s="1180"/>
      <c r="E667" s="310"/>
      <c r="F667" s="1180"/>
      <c r="G667" s="1180"/>
      <c r="H667" s="1180"/>
      <c r="I667" s="1180"/>
      <c r="J667" s="1180" t="s">
        <v>1026</v>
      </c>
      <c r="K667" s="1180"/>
      <c r="L667" s="1180"/>
      <c r="AC667" s="1253"/>
    </row>
    <row r="668">
      <c r="B668" s="1180"/>
      <c r="C668" s="1180"/>
      <c r="D668" s="1180"/>
      <c r="E668" s="310"/>
      <c r="F668" s="1180"/>
      <c r="G668" s="1180"/>
      <c r="H668" s="1180"/>
      <c r="I668" s="1180"/>
      <c r="J668" s="1180" t="s">
        <v>1026</v>
      </c>
      <c r="K668" s="1180"/>
      <c r="L668" s="1180"/>
      <c r="AC668" s="1253"/>
    </row>
    <row r="669">
      <c r="B669" s="1180"/>
      <c r="C669" s="1180"/>
      <c r="D669" s="1180"/>
      <c r="E669" s="310"/>
      <c r="F669" s="1180"/>
      <c r="G669" s="1180"/>
      <c r="H669" s="1180"/>
      <c r="I669" s="1180"/>
      <c r="J669" s="1180" t="s">
        <v>1026</v>
      </c>
      <c r="K669" s="1180"/>
      <c r="L669" s="1180"/>
      <c r="AC669" s="1253"/>
    </row>
    <row r="670">
      <c r="B670" s="1180"/>
      <c r="C670" s="1180"/>
      <c r="D670" s="1180"/>
      <c r="E670" s="310"/>
      <c r="F670" s="1180"/>
      <c r="G670" s="1180"/>
      <c r="H670" s="1180"/>
      <c r="I670" s="1180"/>
      <c r="J670" s="1180" t="s">
        <v>1026</v>
      </c>
      <c r="K670" s="1180"/>
      <c r="L670" s="1180"/>
      <c r="AC670" s="1253"/>
    </row>
    <row r="671">
      <c r="B671" s="1180"/>
      <c r="C671" s="1180"/>
      <c r="D671" s="1180"/>
      <c r="E671" s="310"/>
      <c r="F671" s="1180"/>
      <c r="G671" s="1180"/>
      <c r="H671" s="1180"/>
      <c r="I671" s="1180"/>
      <c r="J671" s="1180" t="s">
        <v>1026</v>
      </c>
      <c r="K671" s="1180"/>
      <c r="L671" s="1180"/>
      <c r="AC671" s="1253"/>
    </row>
    <row r="672">
      <c r="B672" s="1180"/>
      <c r="C672" s="1180"/>
      <c r="D672" s="1180"/>
      <c r="E672" s="310"/>
      <c r="F672" s="1180"/>
      <c r="G672" s="1180"/>
      <c r="H672" s="1180"/>
      <c r="I672" s="1180"/>
      <c r="J672" s="1180" t="s">
        <v>1026</v>
      </c>
      <c r="K672" s="1180"/>
      <c r="L672" s="1180"/>
      <c r="AC672" s="1253"/>
    </row>
    <row r="673">
      <c r="B673" s="1180"/>
      <c r="C673" s="1180"/>
      <c r="D673" s="1180"/>
      <c r="E673" s="310"/>
      <c r="F673" s="1180"/>
      <c r="G673" s="1180"/>
      <c r="H673" s="1180"/>
      <c r="I673" s="1180"/>
      <c r="J673" s="1180" t="s">
        <v>1026</v>
      </c>
      <c r="K673" s="1180"/>
      <c r="L673" s="1180"/>
      <c r="AC673" s="1253"/>
    </row>
    <row r="674">
      <c r="B674" s="1180"/>
      <c r="C674" s="1180"/>
      <c r="D674" s="1180"/>
      <c r="E674" s="310"/>
      <c r="F674" s="1180"/>
      <c r="G674" s="1180"/>
      <c r="H674" s="1180"/>
      <c r="I674" s="1180"/>
      <c r="J674" s="1180" t="s">
        <v>1026</v>
      </c>
      <c r="K674" s="1180"/>
      <c r="L674" s="1180"/>
      <c r="AC674" s="1253"/>
    </row>
    <row r="675">
      <c r="B675" s="1180"/>
      <c r="C675" s="1180"/>
      <c r="D675" s="1180"/>
      <c r="E675" s="310"/>
      <c r="F675" s="1180"/>
      <c r="G675" s="1180"/>
      <c r="H675" s="1180"/>
      <c r="I675" s="1180"/>
      <c r="J675" s="1180" t="s">
        <v>1026</v>
      </c>
      <c r="K675" s="1180"/>
      <c r="L675" s="1180"/>
      <c r="AC675" s="1253"/>
    </row>
    <row r="676">
      <c r="B676" s="1180"/>
      <c r="C676" s="1180"/>
      <c r="D676" s="1180"/>
      <c r="E676" s="310"/>
      <c r="F676" s="1180"/>
      <c r="G676" s="1180"/>
      <c r="H676" s="1180"/>
      <c r="I676" s="1180"/>
      <c r="J676" s="1180" t="s">
        <v>1026</v>
      </c>
      <c r="K676" s="1180"/>
      <c r="L676" s="1180"/>
      <c r="AC676" s="1253"/>
    </row>
    <row r="677">
      <c r="B677" s="1180"/>
      <c r="C677" s="1180"/>
      <c r="D677" s="1180"/>
      <c r="E677" s="310"/>
      <c r="F677" s="1180"/>
      <c r="G677" s="1180"/>
      <c r="H677" s="1180"/>
      <c r="I677" s="1180"/>
      <c r="J677" s="1180" t="s">
        <v>1026</v>
      </c>
      <c r="K677" s="1180"/>
      <c r="L677" s="1180"/>
      <c r="AC677" s="1253"/>
    </row>
    <row r="678">
      <c r="B678" s="1180"/>
      <c r="C678" s="1180"/>
      <c r="D678" s="1180"/>
      <c r="E678" s="310"/>
      <c r="F678" s="1180"/>
      <c r="G678" s="1180"/>
      <c r="H678" s="1180"/>
      <c r="I678" s="1180"/>
      <c r="J678" s="1180" t="s">
        <v>1026</v>
      </c>
      <c r="K678" s="1180"/>
      <c r="L678" s="1180"/>
      <c r="AC678" s="1253"/>
    </row>
    <row r="679">
      <c r="B679" s="1180"/>
      <c r="C679" s="1180"/>
      <c r="D679" s="1180"/>
      <c r="E679" s="310"/>
      <c r="F679" s="1180"/>
      <c r="G679" s="1180"/>
      <c r="H679" s="1180"/>
      <c r="I679" s="1180"/>
      <c r="J679" s="1180" t="s">
        <v>1026</v>
      </c>
      <c r="K679" s="1180"/>
      <c r="L679" s="1180"/>
      <c r="AC679" s="1253"/>
    </row>
    <row r="680">
      <c r="B680" s="1180"/>
      <c r="C680" s="1180"/>
      <c r="D680" s="1180"/>
      <c r="E680" s="310"/>
      <c r="F680" s="1180"/>
      <c r="G680" s="1180"/>
      <c r="H680" s="1180"/>
      <c r="I680" s="1180"/>
      <c r="J680" s="1180" t="s">
        <v>1026</v>
      </c>
      <c r="K680" s="1180"/>
      <c r="L680" s="1180"/>
      <c r="AC680" s="1253"/>
    </row>
    <row r="681">
      <c r="B681" s="1180"/>
      <c r="C681" s="1180"/>
      <c r="D681" s="1180"/>
      <c r="E681" s="310"/>
      <c r="F681" s="1180"/>
      <c r="G681" s="1180"/>
      <c r="H681" s="1180"/>
      <c r="I681" s="1180"/>
      <c r="J681" s="1180" t="s">
        <v>1026</v>
      </c>
      <c r="K681" s="1180"/>
      <c r="L681" s="1180"/>
      <c r="AC681" s="1253"/>
    </row>
    <row r="682">
      <c r="B682" s="1180"/>
      <c r="C682" s="1180"/>
      <c r="D682" s="1180"/>
      <c r="E682" s="310"/>
      <c r="F682" s="1180"/>
      <c r="G682" s="1180"/>
      <c r="H682" s="1180"/>
      <c r="I682" s="1180"/>
      <c r="J682" s="1180" t="s">
        <v>1026</v>
      </c>
      <c r="K682" s="1180"/>
      <c r="L682" s="1180"/>
      <c r="AC682" s="1253"/>
    </row>
    <row r="683">
      <c r="B683" s="1180"/>
      <c r="C683" s="1180"/>
      <c r="D683" s="1180"/>
      <c r="E683" s="310"/>
      <c r="F683" s="1180"/>
      <c r="G683" s="1180"/>
      <c r="H683" s="1180"/>
      <c r="I683" s="1180"/>
      <c r="J683" s="1180" t="s">
        <v>1026</v>
      </c>
      <c r="K683" s="1180"/>
      <c r="L683" s="1180"/>
      <c r="AC683" s="1253"/>
    </row>
    <row r="684">
      <c r="B684" s="1180"/>
      <c r="C684" s="1180"/>
      <c r="D684" s="1180"/>
      <c r="E684" s="310"/>
      <c r="F684" s="1180"/>
      <c r="G684" s="1180"/>
      <c r="H684" s="1180"/>
      <c r="I684" s="1180"/>
      <c r="J684" s="1180" t="s">
        <v>1026</v>
      </c>
      <c r="K684" s="1180"/>
      <c r="L684" s="1180"/>
      <c r="AC684" s="1253"/>
    </row>
    <row r="685">
      <c r="B685" s="1180"/>
      <c r="C685" s="1180"/>
      <c r="D685" s="1180"/>
      <c r="E685" s="310"/>
      <c r="F685" s="1180"/>
      <c r="G685" s="1180"/>
      <c r="H685" s="1180"/>
      <c r="I685" s="1180"/>
      <c r="J685" s="1180" t="s">
        <v>1026</v>
      </c>
      <c r="K685" s="1180"/>
      <c r="L685" s="1180"/>
      <c r="AC685" s="1253"/>
    </row>
    <row r="686">
      <c r="B686" s="1180"/>
      <c r="C686" s="1180"/>
      <c r="D686" s="1180"/>
      <c r="E686" s="310"/>
      <c r="F686" s="1180"/>
      <c r="G686" s="1180"/>
      <c r="H686" s="1180"/>
      <c r="I686" s="1180"/>
      <c r="J686" s="1180" t="s">
        <v>1026</v>
      </c>
      <c r="K686" s="1180"/>
      <c r="L686" s="1180"/>
      <c r="AC686" s="1253"/>
    </row>
    <row r="687">
      <c r="B687" s="1180"/>
      <c r="C687" s="1180"/>
      <c r="D687" s="1180"/>
      <c r="E687" s="310"/>
      <c r="F687" s="1180"/>
      <c r="G687" s="1180"/>
      <c r="H687" s="1180"/>
      <c r="I687" s="1180"/>
      <c r="J687" s="1180" t="s">
        <v>1026</v>
      </c>
      <c r="K687" s="1180"/>
      <c r="L687" s="1180"/>
      <c r="AC687" s="1253"/>
    </row>
    <row r="688">
      <c r="B688" s="1180"/>
      <c r="C688" s="1180"/>
      <c r="D688" s="1180"/>
      <c r="E688" s="310"/>
      <c r="F688" s="1180"/>
      <c r="G688" s="1180"/>
      <c r="H688" s="1180"/>
      <c r="I688" s="1180"/>
      <c r="J688" s="1180" t="s">
        <v>1026</v>
      </c>
      <c r="K688" s="1180"/>
      <c r="L688" s="1180"/>
      <c r="AC688" s="1253"/>
    </row>
    <row r="689">
      <c r="B689" s="1180"/>
      <c r="C689" s="1180"/>
      <c r="D689" s="1180"/>
      <c r="E689" s="310"/>
      <c r="F689" s="1180"/>
      <c r="G689" s="1180"/>
      <c r="H689" s="1180"/>
      <c r="I689" s="1180"/>
      <c r="J689" s="1180" t="s">
        <v>1026</v>
      </c>
      <c r="K689" s="1180"/>
      <c r="L689" s="1180"/>
      <c r="AC689" s="1253"/>
    </row>
    <row r="690">
      <c r="B690" s="1180"/>
      <c r="C690" s="1180"/>
      <c r="D690" s="1180"/>
      <c r="E690" s="310"/>
      <c r="F690" s="1180"/>
      <c r="G690" s="1180"/>
      <c r="H690" s="1180"/>
      <c r="I690" s="1180"/>
      <c r="J690" s="1180" t="s">
        <v>1026</v>
      </c>
      <c r="K690" s="1180"/>
      <c r="L690" s="1180"/>
      <c r="AC690" s="1253"/>
    </row>
    <row r="691">
      <c r="B691" s="1180"/>
      <c r="C691" s="1180"/>
      <c r="D691" s="1180"/>
      <c r="E691" s="310"/>
      <c r="F691" s="1180"/>
      <c r="G691" s="1180"/>
      <c r="H691" s="1180"/>
      <c r="I691" s="1180"/>
      <c r="J691" s="1180" t="s">
        <v>1026</v>
      </c>
      <c r="K691" s="1180"/>
      <c r="L691" s="1180"/>
      <c r="AC691" s="1253"/>
    </row>
    <row r="692">
      <c r="B692" s="1180"/>
      <c r="C692" s="1180"/>
      <c r="D692" s="1180"/>
      <c r="E692" s="310"/>
      <c r="F692" s="1180"/>
      <c r="G692" s="1180"/>
      <c r="H692" s="1180"/>
      <c r="I692" s="1180"/>
      <c r="J692" s="1180" t="s">
        <v>1026</v>
      </c>
      <c r="K692" s="1180"/>
      <c r="L692" s="1180"/>
      <c r="AC692" s="1253"/>
    </row>
    <row r="693">
      <c r="B693" s="1180"/>
      <c r="C693" s="1180"/>
      <c r="D693" s="1180"/>
      <c r="E693" s="310"/>
      <c r="F693" s="1180"/>
      <c r="G693" s="1180"/>
      <c r="H693" s="1180"/>
      <c r="I693" s="1180"/>
      <c r="J693" s="1180" t="s">
        <v>1026</v>
      </c>
      <c r="K693" s="1180"/>
      <c r="L693" s="1180"/>
      <c r="AC693" s="1253"/>
    </row>
    <row r="694">
      <c r="B694" s="1180"/>
      <c r="C694" s="1180"/>
      <c r="D694" s="1180"/>
      <c r="E694" s="310"/>
      <c r="F694" s="1180"/>
      <c r="G694" s="1180"/>
      <c r="H694" s="1180"/>
      <c r="I694" s="1180"/>
      <c r="J694" s="1180" t="s">
        <v>1026</v>
      </c>
      <c r="K694" s="1180"/>
      <c r="L694" s="1180"/>
      <c r="AC694" s="1253"/>
    </row>
    <row r="695">
      <c r="B695" s="1180"/>
      <c r="C695" s="1180"/>
      <c r="D695" s="1180"/>
      <c r="E695" s="310"/>
      <c r="F695" s="1180"/>
      <c r="G695" s="1180"/>
      <c r="H695" s="1180"/>
      <c r="I695" s="1180"/>
      <c r="J695" s="1180" t="s">
        <v>1026</v>
      </c>
      <c r="K695" s="1180"/>
      <c r="L695" s="1180"/>
      <c r="AC695" s="1253"/>
    </row>
    <row r="696">
      <c r="B696" s="1180"/>
      <c r="C696" s="1180"/>
      <c r="D696" s="1180"/>
      <c r="E696" s="310"/>
      <c r="F696" s="1180"/>
      <c r="G696" s="1180"/>
      <c r="H696" s="1180"/>
      <c r="I696" s="1180"/>
      <c r="J696" s="1180" t="s">
        <v>1026</v>
      </c>
      <c r="K696" s="1180"/>
      <c r="L696" s="1180"/>
      <c r="AC696" s="1253"/>
    </row>
    <row r="697">
      <c r="B697" s="1180"/>
      <c r="C697" s="1180"/>
      <c r="D697" s="1180"/>
      <c r="E697" s="310"/>
      <c r="F697" s="1180"/>
      <c r="G697" s="1180"/>
      <c r="H697" s="1180"/>
      <c r="I697" s="1180"/>
      <c r="J697" s="1180" t="s">
        <v>1026</v>
      </c>
      <c r="K697" s="1180"/>
      <c r="L697" s="1180"/>
      <c r="AC697" s="1253"/>
    </row>
    <row r="698">
      <c r="B698" s="1180"/>
      <c r="C698" s="1180"/>
      <c r="D698" s="1180"/>
      <c r="E698" s="310"/>
      <c r="F698" s="1180"/>
      <c r="G698" s="1180"/>
      <c r="H698" s="1180"/>
      <c r="I698" s="1180"/>
      <c r="J698" s="1180" t="s">
        <v>1026</v>
      </c>
      <c r="K698" s="1180"/>
      <c r="L698" s="1180"/>
      <c r="AC698" s="1253"/>
    </row>
    <row r="699">
      <c r="B699" s="1180"/>
      <c r="C699" s="1180"/>
      <c r="D699" s="1180"/>
      <c r="E699" s="310"/>
      <c r="F699" s="1180"/>
      <c r="G699" s="1180"/>
      <c r="H699" s="1180"/>
      <c r="I699" s="1180"/>
      <c r="J699" s="1180" t="s">
        <v>1026</v>
      </c>
      <c r="K699" s="1180"/>
      <c r="L699" s="1180"/>
      <c r="AC699" s="1253"/>
    </row>
    <row r="700">
      <c r="B700" s="1180"/>
      <c r="C700" s="1180"/>
      <c r="D700" s="1180"/>
      <c r="E700" s="310"/>
      <c r="F700" s="1180"/>
      <c r="G700" s="1180"/>
      <c r="H700" s="1180"/>
      <c r="I700" s="1180"/>
      <c r="J700" s="1180" t="s">
        <v>1026</v>
      </c>
      <c r="K700" s="1180"/>
      <c r="L700" s="1180"/>
      <c r="AC700" s="1253"/>
    </row>
    <row r="701">
      <c r="B701" s="1180"/>
      <c r="C701" s="1180"/>
      <c r="D701" s="1180"/>
      <c r="E701" s="310"/>
      <c r="F701" s="1180"/>
      <c r="G701" s="1180"/>
      <c r="H701" s="1180"/>
      <c r="I701" s="1180"/>
      <c r="J701" s="1180" t="s">
        <v>1026</v>
      </c>
      <c r="K701" s="1180"/>
      <c r="L701" s="1180"/>
      <c r="AC701" s="1253"/>
    </row>
    <row r="702">
      <c r="B702" s="1180"/>
      <c r="C702" s="1180"/>
      <c r="D702" s="1180"/>
      <c r="E702" s="310"/>
      <c r="F702" s="1180"/>
      <c r="G702" s="1180"/>
      <c r="H702" s="1180"/>
      <c r="I702" s="1180"/>
      <c r="J702" s="1180" t="s">
        <v>1026</v>
      </c>
      <c r="K702" s="1180"/>
      <c r="L702" s="1180"/>
      <c r="AC702" s="1253"/>
    </row>
    <row r="703">
      <c r="B703" s="1180"/>
      <c r="C703" s="1180"/>
      <c r="D703" s="1180"/>
      <c r="E703" s="310"/>
      <c r="F703" s="1180"/>
      <c r="G703" s="1180"/>
      <c r="H703" s="1180"/>
      <c r="I703" s="1180"/>
      <c r="J703" s="1180" t="s">
        <v>1026</v>
      </c>
      <c r="K703" s="1180"/>
      <c r="L703" s="1180"/>
      <c r="AC703" s="1253"/>
    </row>
    <row r="704">
      <c r="B704" s="1180"/>
      <c r="C704" s="1180"/>
      <c r="D704" s="1180"/>
      <c r="E704" s="310"/>
      <c r="F704" s="1180"/>
      <c r="G704" s="1180"/>
      <c r="H704" s="1180"/>
      <c r="I704" s="1180"/>
      <c r="J704" s="1180" t="s">
        <v>1026</v>
      </c>
      <c r="K704" s="1180"/>
      <c r="L704" s="1180"/>
      <c r="AC704" s="1253"/>
    </row>
    <row r="705">
      <c r="B705" s="1180"/>
      <c r="C705" s="1180"/>
      <c r="D705" s="1180"/>
      <c r="E705" s="310"/>
      <c r="F705" s="1180"/>
      <c r="G705" s="1180"/>
      <c r="H705" s="1180"/>
      <c r="I705" s="1180"/>
      <c r="J705" s="1180" t="s">
        <v>1026</v>
      </c>
      <c r="K705" s="1180"/>
      <c r="L705" s="1180"/>
      <c r="AC705" s="1253"/>
    </row>
    <row r="706">
      <c r="B706" s="1180"/>
      <c r="C706" s="1180"/>
      <c r="D706" s="1180"/>
      <c r="E706" s="310"/>
      <c r="F706" s="1180"/>
      <c r="G706" s="1180"/>
      <c r="H706" s="1180"/>
      <c r="I706" s="1180"/>
      <c r="J706" s="1180" t="s">
        <v>1026</v>
      </c>
      <c r="K706" s="1180"/>
      <c r="L706" s="1180"/>
      <c r="AC706" s="1253"/>
    </row>
    <row r="707">
      <c r="B707" s="1180"/>
      <c r="C707" s="1180"/>
      <c r="D707" s="1180"/>
      <c r="E707" s="310"/>
      <c r="F707" s="1180"/>
      <c r="G707" s="1180"/>
      <c r="H707" s="1180"/>
      <c r="I707" s="1180"/>
      <c r="J707" s="1180" t="s">
        <v>1026</v>
      </c>
      <c r="K707" s="1180"/>
      <c r="L707" s="1180"/>
      <c r="AC707" s="1253"/>
    </row>
    <row r="708">
      <c r="B708" s="1180"/>
      <c r="C708" s="1180"/>
      <c r="D708" s="1180"/>
      <c r="E708" s="310"/>
      <c r="F708" s="1180"/>
      <c r="G708" s="1180"/>
      <c r="H708" s="1180"/>
      <c r="I708" s="1180"/>
      <c r="J708" s="1180" t="s">
        <v>1026</v>
      </c>
      <c r="K708" s="1180"/>
      <c r="L708" s="1180"/>
      <c r="AC708" s="1253"/>
    </row>
    <row r="709">
      <c r="B709" s="1180"/>
      <c r="C709" s="1180"/>
      <c r="D709" s="1180"/>
      <c r="E709" s="310"/>
      <c r="F709" s="1180"/>
      <c r="G709" s="1180"/>
      <c r="H709" s="1180"/>
      <c r="I709" s="1180"/>
      <c r="J709" s="1180" t="s">
        <v>1026</v>
      </c>
      <c r="K709" s="1180"/>
      <c r="L709" s="1180"/>
      <c r="AC709" s="1253"/>
    </row>
    <row r="710">
      <c r="B710" s="1180"/>
      <c r="C710" s="1180"/>
      <c r="D710" s="1180"/>
      <c r="E710" s="310"/>
      <c r="F710" s="1180"/>
      <c r="G710" s="1180"/>
      <c r="H710" s="1180"/>
      <c r="I710" s="1180"/>
      <c r="J710" s="1180" t="s">
        <v>1026</v>
      </c>
      <c r="K710" s="1180"/>
      <c r="L710" s="1180"/>
      <c r="AC710" s="1253"/>
    </row>
    <row r="711">
      <c r="B711" s="1180"/>
      <c r="C711" s="1180"/>
      <c r="D711" s="1180"/>
      <c r="E711" s="310"/>
      <c r="F711" s="1180"/>
      <c r="G711" s="1180"/>
      <c r="H711" s="1180"/>
      <c r="I711" s="1180"/>
      <c r="J711" s="1180" t="s">
        <v>1026</v>
      </c>
      <c r="K711" s="1180"/>
      <c r="L711" s="1180"/>
      <c r="AC711" s="1253"/>
    </row>
    <row r="712">
      <c r="B712" s="1180"/>
      <c r="C712" s="1180"/>
      <c r="D712" s="1180"/>
      <c r="E712" s="310"/>
      <c r="F712" s="1180"/>
      <c r="G712" s="1180"/>
      <c r="H712" s="1180"/>
      <c r="I712" s="1180"/>
      <c r="J712" s="1180" t="s">
        <v>1026</v>
      </c>
      <c r="K712" s="1180"/>
      <c r="L712" s="1180"/>
      <c r="AC712" s="1253"/>
    </row>
    <row r="713">
      <c r="B713" s="1180"/>
      <c r="C713" s="1180"/>
      <c r="D713" s="1180"/>
      <c r="E713" s="310"/>
      <c r="F713" s="1180"/>
      <c r="G713" s="1180"/>
      <c r="H713" s="1180"/>
      <c r="I713" s="1180"/>
      <c r="J713" s="1180" t="s">
        <v>1026</v>
      </c>
      <c r="K713" s="1180"/>
      <c r="L713" s="1180"/>
      <c r="AC713" s="1253"/>
    </row>
    <row r="714">
      <c r="B714" s="1180"/>
      <c r="C714" s="1180"/>
      <c r="D714" s="1180"/>
      <c r="E714" s="310"/>
      <c r="F714" s="1180"/>
      <c r="G714" s="1180"/>
      <c r="H714" s="1180"/>
      <c r="I714" s="1180"/>
      <c r="J714" s="1180" t="s">
        <v>1026</v>
      </c>
      <c r="K714" s="1180"/>
      <c r="L714" s="1180"/>
      <c r="AC714" s="1253"/>
    </row>
    <row r="715">
      <c r="B715" s="1180"/>
      <c r="C715" s="1180"/>
      <c r="D715" s="1180"/>
      <c r="E715" s="310"/>
      <c r="F715" s="1180"/>
      <c r="G715" s="1180"/>
      <c r="H715" s="1180"/>
      <c r="I715" s="1180"/>
      <c r="J715" s="1180" t="s">
        <v>1026</v>
      </c>
      <c r="K715" s="1180"/>
      <c r="L715" s="1180"/>
      <c r="AC715" s="1253"/>
    </row>
    <row r="716">
      <c r="B716" s="1180"/>
      <c r="C716" s="1180"/>
      <c r="D716" s="1180"/>
      <c r="E716" s="310"/>
      <c r="F716" s="1180"/>
      <c r="G716" s="1180"/>
      <c r="H716" s="1180"/>
      <c r="I716" s="1180"/>
      <c r="J716" s="1180" t="s">
        <v>1026</v>
      </c>
      <c r="K716" s="1180"/>
      <c r="L716" s="1180"/>
      <c r="AC716" s="1253"/>
    </row>
    <row r="717">
      <c r="B717" s="1180"/>
      <c r="C717" s="1180"/>
      <c r="D717" s="1180"/>
      <c r="E717" s="310"/>
      <c r="F717" s="1180"/>
      <c r="G717" s="1180"/>
      <c r="H717" s="1180"/>
      <c r="I717" s="1180"/>
      <c r="J717" s="1180" t="s">
        <v>1026</v>
      </c>
      <c r="K717" s="1180"/>
      <c r="L717" s="1180"/>
      <c r="AC717" s="1253"/>
    </row>
    <row r="718">
      <c r="B718" s="1180"/>
      <c r="C718" s="1180"/>
      <c r="D718" s="1180"/>
      <c r="E718" s="310"/>
      <c r="F718" s="1180"/>
      <c r="G718" s="1180"/>
      <c r="H718" s="1180"/>
      <c r="I718" s="1180"/>
      <c r="J718" s="1180" t="s">
        <v>1026</v>
      </c>
      <c r="K718" s="1180"/>
      <c r="L718" s="1180"/>
      <c r="AC718" s="1253"/>
    </row>
    <row r="719">
      <c r="B719" s="1180"/>
      <c r="C719" s="1180"/>
      <c r="D719" s="1180"/>
      <c r="E719" s="310"/>
      <c r="F719" s="1180"/>
      <c r="G719" s="1180"/>
      <c r="H719" s="1180"/>
      <c r="I719" s="1180"/>
      <c r="J719" s="1180" t="s">
        <v>1026</v>
      </c>
      <c r="K719" s="1180"/>
      <c r="L719" s="1180"/>
      <c r="AC719" s="1253"/>
    </row>
    <row r="720">
      <c r="B720" s="1180"/>
      <c r="C720" s="1180"/>
      <c r="D720" s="1180"/>
      <c r="E720" s="310"/>
      <c r="F720" s="1180"/>
      <c r="G720" s="1180"/>
      <c r="H720" s="1180"/>
      <c r="I720" s="1180"/>
      <c r="J720" s="1180" t="s">
        <v>1026</v>
      </c>
      <c r="K720" s="1180"/>
      <c r="L720" s="1180"/>
      <c r="AC720" s="1253"/>
    </row>
    <row r="721">
      <c r="B721" s="1180"/>
      <c r="C721" s="1180"/>
      <c r="D721" s="1180"/>
      <c r="E721" s="310"/>
      <c r="F721" s="1180"/>
      <c r="G721" s="1180"/>
      <c r="H721" s="1180"/>
      <c r="I721" s="1180"/>
      <c r="J721" s="1180" t="s">
        <v>1026</v>
      </c>
      <c r="K721" s="1180"/>
      <c r="L721" s="1180"/>
      <c r="AC721" s="1253"/>
    </row>
    <row r="722">
      <c r="B722" s="1180"/>
      <c r="C722" s="1180"/>
      <c r="D722" s="1180"/>
      <c r="E722" s="310"/>
      <c r="F722" s="1180"/>
      <c r="G722" s="1180"/>
      <c r="H722" s="1180"/>
      <c r="I722" s="1180"/>
      <c r="J722" s="1180" t="s">
        <v>1026</v>
      </c>
      <c r="K722" s="1180"/>
      <c r="L722" s="1180"/>
      <c r="AC722" s="1253"/>
    </row>
    <row r="723">
      <c r="B723" s="1180"/>
      <c r="C723" s="1180"/>
      <c r="D723" s="1180"/>
      <c r="E723" s="310"/>
      <c r="F723" s="1180"/>
      <c r="G723" s="1180"/>
      <c r="H723" s="1180"/>
      <c r="I723" s="1180"/>
      <c r="J723" s="1180" t="s">
        <v>1026</v>
      </c>
      <c r="K723" s="1180"/>
      <c r="L723" s="1180"/>
      <c r="AC723" s="1253"/>
    </row>
    <row r="724">
      <c r="B724" s="1180"/>
      <c r="C724" s="1180"/>
      <c r="D724" s="1180"/>
      <c r="E724" s="310"/>
      <c r="F724" s="1180"/>
      <c r="G724" s="1180"/>
      <c r="H724" s="1180"/>
      <c r="I724" s="1180"/>
      <c r="J724" s="1180" t="s">
        <v>1026</v>
      </c>
      <c r="K724" s="1180"/>
      <c r="L724" s="1180"/>
      <c r="AC724" s="1253"/>
    </row>
    <row r="725">
      <c r="B725" s="1180"/>
      <c r="C725" s="1180"/>
      <c r="D725" s="1180"/>
      <c r="E725" s="310"/>
      <c r="F725" s="1180"/>
      <c r="G725" s="1180"/>
      <c r="H725" s="1180"/>
      <c r="I725" s="1180"/>
      <c r="J725" s="1180" t="s">
        <v>1026</v>
      </c>
      <c r="K725" s="1180"/>
      <c r="L725" s="1180"/>
      <c r="AC725" s="1253"/>
    </row>
    <row r="726">
      <c r="B726" s="1180"/>
      <c r="C726" s="1180"/>
      <c r="D726" s="1180"/>
      <c r="E726" s="310"/>
      <c r="F726" s="1180"/>
      <c r="G726" s="1180"/>
      <c r="H726" s="1180"/>
      <c r="I726" s="1180"/>
      <c r="J726" s="1180" t="s">
        <v>1026</v>
      </c>
      <c r="K726" s="1180"/>
      <c r="L726" s="1180"/>
      <c r="AC726" s="1253"/>
    </row>
    <row r="727">
      <c r="B727" s="1180"/>
      <c r="C727" s="1180"/>
      <c r="D727" s="1180"/>
      <c r="E727" s="310"/>
      <c r="F727" s="1180"/>
      <c r="G727" s="1180"/>
      <c r="H727" s="1180"/>
      <c r="I727" s="1180"/>
      <c r="J727" s="1180" t="s">
        <v>1026</v>
      </c>
      <c r="K727" s="1180"/>
      <c r="L727" s="1180"/>
      <c r="AC727" s="1253"/>
    </row>
    <row r="728">
      <c r="B728" s="1180"/>
      <c r="C728" s="1180"/>
      <c r="D728" s="1180"/>
      <c r="E728" s="310"/>
      <c r="F728" s="1180"/>
      <c r="G728" s="1180"/>
      <c r="H728" s="1180"/>
      <c r="I728" s="1180"/>
      <c r="J728" s="1180" t="s">
        <v>1026</v>
      </c>
      <c r="K728" s="1180"/>
      <c r="L728" s="1180"/>
      <c r="AC728" s="1253"/>
    </row>
    <row r="729">
      <c r="B729" s="1180"/>
      <c r="C729" s="1180"/>
      <c r="D729" s="1180"/>
      <c r="E729" s="310"/>
      <c r="F729" s="1180"/>
      <c r="G729" s="1180"/>
      <c r="H729" s="1180"/>
      <c r="I729" s="1180"/>
      <c r="J729" s="1180" t="s">
        <v>1026</v>
      </c>
      <c r="K729" s="1180"/>
      <c r="L729" s="1180"/>
      <c r="AC729" s="1253"/>
    </row>
    <row r="730">
      <c r="B730" s="1180"/>
      <c r="C730" s="1180"/>
      <c r="D730" s="1180"/>
      <c r="E730" s="310"/>
      <c r="F730" s="1180"/>
      <c r="G730" s="1180"/>
      <c r="H730" s="1180"/>
      <c r="I730" s="1180"/>
      <c r="J730" s="1180" t="s">
        <v>1026</v>
      </c>
      <c r="K730" s="1180"/>
      <c r="L730" s="1180"/>
      <c r="AC730" s="1253"/>
    </row>
    <row r="731">
      <c r="B731" s="1180"/>
      <c r="C731" s="1180"/>
      <c r="D731" s="1180"/>
      <c r="E731" s="310"/>
      <c r="F731" s="1180"/>
      <c r="G731" s="1180"/>
      <c r="H731" s="1180"/>
      <c r="I731" s="1180"/>
      <c r="J731" s="1180" t="s">
        <v>1026</v>
      </c>
      <c r="K731" s="1180"/>
      <c r="L731" s="1180"/>
      <c r="AC731" s="1253"/>
    </row>
    <row r="732">
      <c r="B732" s="1180"/>
      <c r="C732" s="1180"/>
      <c r="D732" s="1180"/>
      <c r="E732" s="310"/>
      <c r="F732" s="1180"/>
      <c r="G732" s="1180"/>
      <c r="H732" s="1180"/>
      <c r="I732" s="1180"/>
      <c r="J732" s="1180" t="s">
        <v>1026</v>
      </c>
      <c r="K732" s="1180"/>
      <c r="L732" s="1180"/>
      <c r="AC732" s="1253"/>
    </row>
    <row r="733">
      <c r="B733" s="1180"/>
      <c r="C733" s="1180"/>
      <c r="D733" s="1180"/>
      <c r="E733" s="310"/>
      <c r="F733" s="1180"/>
      <c r="G733" s="1180"/>
      <c r="H733" s="1180"/>
      <c r="I733" s="1180"/>
      <c r="J733" s="1180" t="s">
        <v>1026</v>
      </c>
      <c r="K733" s="1180"/>
      <c r="L733" s="1180"/>
      <c r="AC733" s="1253"/>
    </row>
    <row r="734">
      <c r="B734" s="1180"/>
      <c r="C734" s="1180"/>
      <c r="D734" s="1180"/>
      <c r="E734" s="310"/>
      <c r="F734" s="1180"/>
      <c r="G734" s="1180"/>
      <c r="H734" s="1180"/>
      <c r="I734" s="1180"/>
      <c r="J734" s="1180" t="s">
        <v>1026</v>
      </c>
      <c r="K734" s="1180"/>
      <c r="L734" s="1180"/>
      <c r="AC734" s="1253"/>
    </row>
    <row r="735">
      <c r="B735" s="1180"/>
      <c r="C735" s="1180"/>
      <c r="D735" s="1180"/>
      <c r="E735" s="310"/>
      <c r="F735" s="1180"/>
      <c r="G735" s="1180"/>
      <c r="H735" s="1180"/>
      <c r="I735" s="1180"/>
      <c r="J735" s="1180" t="s">
        <v>1026</v>
      </c>
      <c r="K735" s="1180"/>
      <c r="L735" s="1180"/>
      <c r="AC735" s="1253"/>
    </row>
    <row r="736">
      <c r="B736" s="1180"/>
      <c r="C736" s="1180"/>
      <c r="D736" s="1180"/>
      <c r="E736" s="310"/>
      <c r="F736" s="1180"/>
      <c r="G736" s="1180"/>
      <c r="H736" s="1180"/>
      <c r="I736" s="1180"/>
      <c r="J736" s="1180" t="s">
        <v>1026</v>
      </c>
      <c r="K736" s="1180"/>
      <c r="L736" s="1180"/>
      <c r="AC736" s="1253"/>
    </row>
    <row r="737">
      <c r="B737" s="1180"/>
      <c r="C737" s="1180"/>
      <c r="D737" s="1180"/>
      <c r="E737" s="310"/>
      <c r="F737" s="1180"/>
      <c r="G737" s="1180"/>
      <c r="H737" s="1180"/>
      <c r="I737" s="1180"/>
      <c r="J737" s="1180" t="s">
        <v>1026</v>
      </c>
      <c r="K737" s="1180"/>
      <c r="L737" s="1180"/>
      <c r="AC737" s="1253"/>
    </row>
    <row r="738">
      <c r="B738" s="1180"/>
      <c r="C738" s="1180"/>
      <c r="D738" s="1180"/>
      <c r="E738" s="310"/>
      <c r="F738" s="1180"/>
      <c r="G738" s="1180"/>
      <c r="H738" s="1180"/>
      <c r="I738" s="1180"/>
      <c r="J738" s="1180" t="s">
        <v>1026</v>
      </c>
      <c r="K738" s="1180"/>
      <c r="L738" s="1180"/>
      <c r="AC738" s="1253"/>
    </row>
    <row r="739">
      <c r="B739" s="1180"/>
      <c r="C739" s="1180"/>
      <c r="D739" s="1180"/>
      <c r="E739" s="310"/>
      <c r="F739" s="1180"/>
      <c r="G739" s="1180"/>
      <c r="H739" s="1180"/>
      <c r="I739" s="1180"/>
      <c r="J739" s="1180" t="s">
        <v>1026</v>
      </c>
      <c r="K739" s="1180"/>
      <c r="L739" s="1180"/>
      <c r="AC739" s="1253"/>
    </row>
    <row r="740">
      <c r="B740" s="1180"/>
      <c r="C740" s="1180"/>
      <c r="D740" s="1180"/>
      <c r="E740" s="310"/>
      <c r="F740" s="1180"/>
      <c r="G740" s="1180"/>
      <c r="H740" s="1180"/>
      <c r="I740" s="1180"/>
      <c r="J740" s="1180" t="s">
        <v>1026</v>
      </c>
      <c r="K740" s="1180"/>
      <c r="L740" s="1180"/>
      <c r="AC740" s="1253"/>
    </row>
    <row r="741">
      <c r="B741" s="1180"/>
      <c r="C741" s="1180"/>
      <c r="D741" s="1180"/>
      <c r="E741" s="310"/>
      <c r="F741" s="1180"/>
      <c r="G741" s="1180"/>
      <c r="H741" s="1180"/>
      <c r="I741" s="1180"/>
      <c r="J741" s="1180" t="s">
        <v>1026</v>
      </c>
      <c r="K741" s="1180"/>
      <c r="L741" s="1180"/>
      <c r="AC741" s="1253"/>
    </row>
    <row r="742">
      <c r="B742" s="1180"/>
      <c r="C742" s="1180"/>
      <c r="D742" s="1180"/>
      <c r="E742" s="310"/>
      <c r="F742" s="1180"/>
      <c r="G742" s="1180"/>
      <c r="H742" s="1180"/>
      <c r="I742" s="1180"/>
      <c r="J742" s="1180" t="s">
        <v>1026</v>
      </c>
      <c r="K742" s="1180"/>
      <c r="L742" s="1180"/>
      <c r="AC742" s="1253"/>
    </row>
    <row r="743">
      <c r="B743" s="1180"/>
      <c r="C743" s="1180"/>
      <c r="D743" s="1180"/>
      <c r="E743" s="310"/>
      <c r="F743" s="1180"/>
      <c r="G743" s="1180"/>
      <c r="H743" s="1180"/>
      <c r="I743" s="1180"/>
      <c r="J743" s="1180" t="s">
        <v>1026</v>
      </c>
      <c r="K743" s="1180"/>
      <c r="L743" s="1180"/>
      <c r="AC743" s="1253"/>
    </row>
    <row r="744">
      <c r="B744" s="1180"/>
      <c r="C744" s="1180"/>
      <c r="D744" s="1180"/>
      <c r="E744" s="310"/>
      <c r="F744" s="1180"/>
      <c r="G744" s="1180"/>
      <c r="H744" s="1180"/>
      <c r="I744" s="1180"/>
      <c r="J744" s="1180" t="s">
        <v>1026</v>
      </c>
      <c r="K744" s="1180"/>
      <c r="L744" s="1180"/>
      <c r="AC744" s="1253"/>
    </row>
    <row r="745">
      <c r="B745" s="1180"/>
      <c r="C745" s="1180"/>
      <c r="D745" s="1180"/>
      <c r="E745" s="310"/>
      <c r="F745" s="1180"/>
      <c r="G745" s="1180"/>
      <c r="H745" s="1180"/>
      <c r="I745" s="1180"/>
      <c r="J745" s="1180" t="s">
        <v>1026</v>
      </c>
      <c r="K745" s="1180"/>
      <c r="L745" s="1180"/>
      <c r="AC745" s="1253"/>
    </row>
    <row r="746">
      <c r="B746" s="1180"/>
      <c r="C746" s="1180"/>
      <c r="D746" s="1180"/>
      <c r="E746" s="310"/>
      <c r="F746" s="1180"/>
      <c r="G746" s="1180"/>
      <c r="H746" s="1180"/>
      <c r="I746" s="1180"/>
      <c r="J746" s="1180" t="s">
        <v>1026</v>
      </c>
      <c r="K746" s="1180"/>
      <c r="L746" s="1180"/>
      <c r="AC746" s="1253"/>
    </row>
    <row r="747">
      <c r="B747" s="1180"/>
      <c r="C747" s="1180"/>
      <c r="D747" s="1180"/>
      <c r="E747" s="310"/>
      <c r="F747" s="1180"/>
      <c r="G747" s="1180"/>
      <c r="H747" s="1180"/>
      <c r="I747" s="1180"/>
      <c r="J747" s="1180" t="s">
        <v>1026</v>
      </c>
      <c r="K747" s="1180"/>
      <c r="L747" s="1180"/>
      <c r="AC747" s="1253"/>
    </row>
    <row r="748">
      <c r="B748" s="1180"/>
      <c r="C748" s="1180"/>
      <c r="D748" s="1180"/>
      <c r="E748" s="310"/>
      <c r="F748" s="1180"/>
      <c r="G748" s="1180"/>
      <c r="H748" s="1180"/>
      <c r="I748" s="1180"/>
      <c r="J748" s="1180" t="s">
        <v>1026</v>
      </c>
      <c r="K748" s="1180"/>
      <c r="L748" s="1180"/>
      <c r="AC748" s="1253"/>
    </row>
    <row r="749">
      <c r="B749" s="1180"/>
      <c r="C749" s="1180"/>
      <c r="D749" s="1180"/>
      <c r="E749" s="310"/>
      <c r="F749" s="1180"/>
      <c r="G749" s="1180"/>
      <c r="H749" s="1180"/>
      <c r="I749" s="1180"/>
      <c r="J749" s="1180" t="s">
        <v>1026</v>
      </c>
      <c r="K749" s="1180"/>
      <c r="L749" s="1180"/>
      <c r="AC749" s="1253"/>
    </row>
    <row r="750">
      <c r="B750" s="1180"/>
      <c r="C750" s="1180"/>
      <c r="D750" s="1180"/>
      <c r="E750" s="310"/>
      <c r="F750" s="1180"/>
      <c r="G750" s="1180"/>
      <c r="H750" s="1180"/>
      <c r="I750" s="1180"/>
      <c r="J750" s="1180" t="s">
        <v>1026</v>
      </c>
      <c r="K750" s="1180"/>
      <c r="L750" s="1180"/>
      <c r="AC750" s="1253"/>
    </row>
    <row r="751">
      <c r="B751" s="1180"/>
      <c r="C751" s="1180"/>
      <c r="D751" s="1180"/>
      <c r="E751" s="310"/>
      <c r="F751" s="1180"/>
      <c r="G751" s="1180"/>
      <c r="H751" s="1180"/>
      <c r="I751" s="1180"/>
      <c r="J751" s="1180" t="s">
        <v>1026</v>
      </c>
      <c r="K751" s="1180"/>
      <c r="L751" s="1180"/>
      <c r="AC751" s="1253"/>
    </row>
    <row r="752">
      <c r="B752" s="1180"/>
      <c r="C752" s="1180"/>
      <c r="D752" s="1180"/>
      <c r="E752" s="310"/>
      <c r="F752" s="1180"/>
      <c r="G752" s="1180"/>
      <c r="H752" s="1180"/>
      <c r="I752" s="1180"/>
      <c r="J752" s="1180" t="s">
        <v>1026</v>
      </c>
      <c r="K752" s="1180"/>
      <c r="L752" s="1180"/>
      <c r="AC752" s="1253"/>
    </row>
    <row r="753">
      <c r="B753" s="1180"/>
      <c r="C753" s="1180"/>
      <c r="D753" s="1180"/>
      <c r="E753" s="310"/>
      <c r="F753" s="1180"/>
      <c r="G753" s="1180"/>
      <c r="H753" s="1180"/>
      <c r="I753" s="1180"/>
      <c r="J753" s="1180" t="s">
        <v>1026</v>
      </c>
      <c r="K753" s="1180"/>
      <c r="L753" s="1180"/>
      <c r="AC753" s="1253"/>
    </row>
    <row r="754">
      <c r="B754" s="1180"/>
      <c r="C754" s="1180"/>
      <c r="D754" s="1180"/>
      <c r="E754" s="310"/>
      <c r="F754" s="1180"/>
      <c r="G754" s="1180"/>
      <c r="H754" s="1180"/>
      <c r="I754" s="1180"/>
      <c r="J754" s="1180" t="s">
        <v>1026</v>
      </c>
      <c r="K754" s="1180"/>
      <c r="L754" s="1180"/>
      <c r="AC754" s="1253"/>
    </row>
    <row r="755">
      <c r="B755" s="1180"/>
      <c r="C755" s="1180"/>
      <c r="D755" s="1180"/>
      <c r="E755" s="310"/>
      <c r="F755" s="1180"/>
      <c r="G755" s="1180"/>
      <c r="H755" s="1180"/>
      <c r="I755" s="1180"/>
      <c r="J755" s="1180" t="s">
        <v>1026</v>
      </c>
      <c r="K755" s="1180"/>
      <c r="L755" s="1180"/>
      <c r="AC755" s="1253"/>
    </row>
    <row r="756">
      <c r="B756" s="1180"/>
      <c r="C756" s="1180"/>
      <c r="D756" s="1180"/>
      <c r="E756" s="310"/>
      <c r="F756" s="1180"/>
      <c r="G756" s="1180"/>
      <c r="H756" s="1180"/>
      <c r="I756" s="1180"/>
      <c r="J756" s="1180" t="s">
        <v>1026</v>
      </c>
      <c r="K756" s="1180"/>
      <c r="L756" s="1180"/>
      <c r="AC756" s="1253"/>
    </row>
    <row r="757">
      <c r="B757" s="1180"/>
      <c r="C757" s="1180"/>
      <c r="D757" s="1180"/>
      <c r="E757" s="310"/>
      <c r="F757" s="1180"/>
      <c r="G757" s="1180"/>
      <c r="H757" s="1180"/>
      <c r="I757" s="1180"/>
      <c r="J757" s="1180" t="s">
        <v>1026</v>
      </c>
      <c r="K757" s="1180"/>
      <c r="L757" s="1180"/>
      <c r="AC757" s="1253"/>
    </row>
    <row r="758">
      <c r="B758" s="1180"/>
      <c r="C758" s="1180"/>
      <c r="D758" s="1180"/>
      <c r="E758" s="310"/>
      <c r="F758" s="1180"/>
      <c r="G758" s="1180"/>
      <c r="H758" s="1180"/>
      <c r="I758" s="1180"/>
      <c r="J758" s="1180" t="s">
        <v>1026</v>
      </c>
      <c r="K758" s="1180"/>
      <c r="L758" s="1180"/>
      <c r="AC758" s="1253"/>
    </row>
    <row r="759">
      <c r="B759" s="1180"/>
      <c r="C759" s="1180"/>
      <c r="D759" s="1180"/>
      <c r="E759" s="310"/>
      <c r="F759" s="1180"/>
      <c r="G759" s="1180"/>
      <c r="H759" s="1180"/>
      <c r="I759" s="1180"/>
      <c r="J759" s="1180" t="s">
        <v>1026</v>
      </c>
      <c r="K759" s="1180"/>
      <c r="L759" s="1180"/>
      <c r="AC759" s="1253"/>
    </row>
    <row r="760">
      <c r="B760" s="1180"/>
      <c r="C760" s="1180"/>
      <c r="D760" s="1180"/>
      <c r="E760" s="310"/>
      <c r="F760" s="1180"/>
      <c r="G760" s="1180"/>
      <c r="H760" s="1180"/>
      <c r="I760" s="1180"/>
      <c r="J760" s="1180" t="s">
        <v>1026</v>
      </c>
      <c r="K760" s="1180"/>
      <c r="L760" s="1180"/>
      <c r="AC760" s="1253"/>
    </row>
    <row r="761">
      <c r="B761" s="1180"/>
      <c r="C761" s="1180"/>
      <c r="D761" s="1180"/>
      <c r="E761" s="310"/>
      <c r="F761" s="1180"/>
      <c r="G761" s="1180"/>
      <c r="H761" s="1180"/>
      <c r="I761" s="1180"/>
      <c r="J761" s="1180" t="s">
        <v>1026</v>
      </c>
      <c r="K761" s="1180"/>
      <c r="L761" s="1180"/>
      <c r="AC761" s="1253"/>
    </row>
    <row r="762">
      <c r="B762" s="1180"/>
      <c r="C762" s="1180"/>
      <c r="D762" s="1180"/>
      <c r="E762" s="310"/>
      <c r="F762" s="1180"/>
      <c r="G762" s="1180"/>
      <c r="H762" s="1180"/>
      <c r="I762" s="1180"/>
      <c r="J762" s="1180" t="s">
        <v>1026</v>
      </c>
      <c r="K762" s="1180"/>
      <c r="L762" s="1180"/>
      <c r="AC762" s="1253"/>
    </row>
    <row r="763">
      <c r="B763" s="1180"/>
      <c r="C763" s="1180"/>
      <c r="D763" s="1180"/>
      <c r="E763" s="310"/>
      <c r="F763" s="1180"/>
      <c r="G763" s="1180"/>
      <c r="H763" s="1180"/>
      <c r="I763" s="1180"/>
      <c r="J763" s="1180" t="s">
        <v>1026</v>
      </c>
      <c r="K763" s="1180"/>
      <c r="L763" s="1180"/>
      <c r="AC763" s="1253"/>
    </row>
    <row r="764">
      <c r="B764" s="1180"/>
      <c r="C764" s="1180"/>
      <c r="D764" s="1180"/>
      <c r="E764" s="310"/>
      <c r="F764" s="1180"/>
      <c r="G764" s="1180"/>
      <c r="H764" s="1180"/>
      <c r="I764" s="1180"/>
      <c r="J764" s="1180" t="s">
        <v>1026</v>
      </c>
      <c r="K764" s="1180"/>
      <c r="L764" s="1180"/>
      <c r="AC764" s="1253"/>
    </row>
    <row r="765">
      <c r="B765" s="1180"/>
      <c r="C765" s="1180"/>
      <c r="D765" s="1180"/>
      <c r="E765" s="310"/>
      <c r="F765" s="1180"/>
      <c r="G765" s="1180"/>
      <c r="H765" s="1180"/>
      <c r="I765" s="1180"/>
      <c r="J765" s="1180" t="s">
        <v>1026</v>
      </c>
      <c r="K765" s="1180"/>
      <c r="L765" s="1180"/>
      <c r="AC765" s="1253"/>
    </row>
    <row r="766">
      <c r="B766" s="1180"/>
      <c r="C766" s="1180"/>
      <c r="D766" s="1180"/>
      <c r="E766" s="310"/>
      <c r="F766" s="1180"/>
      <c r="G766" s="1180"/>
      <c r="H766" s="1180"/>
      <c r="I766" s="1180"/>
      <c r="J766" s="1180" t="s">
        <v>1026</v>
      </c>
      <c r="K766" s="1180"/>
      <c r="L766" s="1180"/>
      <c r="AC766" s="1253"/>
    </row>
    <row r="767">
      <c r="B767" s="1180"/>
      <c r="C767" s="1180"/>
      <c r="D767" s="1180"/>
      <c r="E767" s="310"/>
      <c r="F767" s="1180"/>
      <c r="G767" s="1180"/>
      <c r="H767" s="1180"/>
      <c r="I767" s="1180"/>
      <c r="J767" s="1180" t="s">
        <v>1026</v>
      </c>
      <c r="K767" s="1180"/>
      <c r="L767" s="1180"/>
      <c r="AC767" s="1253"/>
    </row>
    <row r="768">
      <c r="B768" s="1180"/>
      <c r="C768" s="1180"/>
      <c r="D768" s="1180"/>
      <c r="E768" s="310"/>
      <c r="F768" s="1180"/>
      <c r="G768" s="1180"/>
      <c r="H768" s="1180"/>
      <c r="I768" s="1180"/>
      <c r="J768" s="1180" t="s">
        <v>1026</v>
      </c>
      <c r="K768" s="1180"/>
      <c r="L768" s="1180"/>
      <c r="AC768" s="1253"/>
    </row>
    <row r="769">
      <c r="B769" s="1180"/>
      <c r="C769" s="1180"/>
      <c r="D769" s="1180"/>
      <c r="E769" s="310"/>
      <c r="F769" s="1180"/>
      <c r="G769" s="1180"/>
      <c r="H769" s="1180"/>
      <c r="I769" s="1180"/>
      <c r="J769" s="1180" t="s">
        <v>1026</v>
      </c>
      <c r="K769" s="1180"/>
      <c r="L769" s="1180"/>
      <c r="AC769" s="1253"/>
    </row>
    <row r="770">
      <c r="B770" s="1180"/>
      <c r="C770" s="1180"/>
      <c r="D770" s="1180"/>
      <c r="E770" s="310"/>
      <c r="F770" s="1180"/>
      <c r="G770" s="1180"/>
      <c r="H770" s="1180"/>
      <c r="I770" s="1180"/>
      <c r="J770" s="1180" t="s">
        <v>1026</v>
      </c>
      <c r="K770" s="1180"/>
      <c r="L770" s="1180"/>
      <c r="AC770" s="1253"/>
    </row>
    <row r="771">
      <c r="B771" s="1180"/>
      <c r="C771" s="1180"/>
      <c r="D771" s="1180"/>
      <c r="E771" s="310"/>
      <c r="F771" s="1180"/>
      <c r="G771" s="1180"/>
      <c r="H771" s="1180"/>
      <c r="I771" s="1180"/>
      <c r="J771" s="1180" t="s">
        <v>1026</v>
      </c>
      <c r="K771" s="1180"/>
      <c r="L771" s="1180"/>
      <c r="AC771" s="1253"/>
    </row>
    <row r="772">
      <c r="B772" s="1180"/>
      <c r="C772" s="1180"/>
      <c r="D772" s="1180"/>
      <c r="E772" s="310"/>
      <c r="F772" s="1180"/>
      <c r="G772" s="1180"/>
      <c r="H772" s="1180"/>
      <c r="I772" s="1180"/>
      <c r="J772" s="1180" t="s">
        <v>1026</v>
      </c>
      <c r="K772" s="1180"/>
      <c r="L772" s="1180"/>
      <c r="AC772" s="1253"/>
    </row>
    <row r="773">
      <c r="B773" s="1180"/>
      <c r="C773" s="1180"/>
      <c r="D773" s="1180"/>
      <c r="E773" s="310"/>
      <c r="F773" s="1180"/>
      <c r="G773" s="1180"/>
      <c r="H773" s="1180"/>
      <c r="I773" s="1180"/>
      <c r="J773" s="1180" t="s">
        <v>1026</v>
      </c>
      <c r="K773" s="1180"/>
      <c r="L773" s="1180"/>
      <c r="AC773" s="1253"/>
    </row>
    <row r="774">
      <c r="B774" s="1180"/>
      <c r="C774" s="1180"/>
      <c r="D774" s="1180"/>
      <c r="E774" s="310"/>
      <c r="F774" s="1180"/>
      <c r="G774" s="1180"/>
      <c r="H774" s="1180"/>
      <c r="I774" s="1180"/>
      <c r="J774" s="1180" t="s">
        <v>1026</v>
      </c>
      <c r="K774" s="1180"/>
      <c r="L774" s="1180"/>
      <c r="AC774" s="1253"/>
    </row>
    <row r="775">
      <c r="B775" s="1180"/>
      <c r="C775" s="1180"/>
      <c r="D775" s="1180"/>
      <c r="E775" s="310"/>
      <c r="F775" s="1180"/>
      <c r="G775" s="1180"/>
      <c r="H775" s="1180"/>
      <c r="I775" s="1180"/>
      <c r="J775" s="1180" t="s">
        <v>1026</v>
      </c>
      <c r="K775" s="1180"/>
      <c r="L775" s="1180"/>
      <c r="AC775" s="1253"/>
    </row>
    <row r="776">
      <c r="B776" s="1180"/>
      <c r="C776" s="1180"/>
      <c r="D776" s="1180"/>
      <c r="E776" s="310"/>
      <c r="F776" s="1180"/>
      <c r="G776" s="1180"/>
      <c r="H776" s="1180"/>
      <c r="I776" s="1180"/>
      <c r="J776" s="1180" t="s">
        <v>1026</v>
      </c>
      <c r="K776" s="1180"/>
      <c r="L776" s="1180"/>
      <c r="AC776" s="1253"/>
    </row>
    <row r="777">
      <c r="B777" s="1180"/>
      <c r="C777" s="1180"/>
      <c r="D777" s="1180"/>
      <c r="E777" s="310"/>
      <c r="F777" s="1180"/>
      <c r="G777" s="1180"/>
      <c r="H777" s="1180"/>
      <c r="I777" s="1180"/>
      <c r="J777" s="1180" t="s">
        <v>1026</v>
      </c>
      <c r="K777" s="1180"/>
      <c r="L777" s="1180"/>
      <c r="AC777" s="1253"/>
    </row>
    <row r="778">
      <c r="B778" s="1180"/>
      <c r="C778" s="1180"/>
      <c r="D778" s="1180"/>
      <c r="E778" s="310"/>
      <c r="F778" s="1180"/>
      <c r="G778" s="1180"/>
      <c r="H778" s="1180"/>
      <c r="I778" s="1180"/>
      <c r="J778" s="1180" t="s">
        <v>1026</v>
      </c>
      <c r="K778" s="1180"/>
      <c r="L778" s="1180"/>
      <c r="AC778" s="1253"/>
    </row>
    <row r="779">
      <c r="B779" s="1180"/>
      <c r="C779" s="1180"/>
      <c r="D779" s="1180"/>
      <c r="E779" s="310"/>
      <c r="F779" s="1180"/>
      <c r="G779" s="1180"/>
      <c r="H779" s="1180"/>
      <c r="I779" s="1180"/>
      <c r="J779" s="1180" t="s">
        <v>1026</v>
      </c>
      <c r="K779" s="1180"/>
      <c r="L779" s="1180"/>
      <c r="AC779" s="1253"/>
    </row>
    <row r="780">
      <c r="B780" s="1180"/>
      <c r="C780" s="1180"/>
      <c r="D780" s="1180"/>
      <c r="E780" s="310"/>
      <c r="F780" s="1180"/>
      <c r="G780" s="1180"/>
      <c r="H780" s="1180"/>
      <c r="I780" s="1180"/>
      <c r="J780" s="1180" t="s">
        <v>1026</v>
      </c>
      <c r="K780" s="1180"/>
      <c r="L780" s="1180"/>
      <c r="AC780" s="1253"/>
    </row>
    <row r="781">
      <c r="B781" s="1180"/>
      <c r="C781" s="1180"/>
      <c r="D781" s="1180"/>
      <c r="E781" s="310"/>
      <c r="F781" s="1180"/>
      <c r="G781" s="1180"/>
      <c r="H781" s="1180"/>
      <c r="I781" s="1180"/>
      <c r="J781" s="1180" t="s">
        <v>1026</v>
      </c>
      <c r="K781" s="1180"/>
      <c r="L781" s="1180"/>
      <c r="AC781" s="1253"/>
    </row>
    <row r="782">
      <c r="B782" s="1180"/>
      <c r="C782" s="1180"/>
      <c r="D782" s="1180"/>
      <c r="E782" s="310"/>
      <c r="F782" s="1180"/>
      <c r="G782" s="1180"/>
      <c r="H782" s="1180"/>
      <c r="I782" s="1180"/>
      <c r="J782" s="1180" t="s">
        <v>1026</v>
      </c>
      <c r="K782" s="1180"/>
      <c r="L782" s="1180"/>
      <c r="AC782" s="1253"/>
    </row>
    <row r="783">
      <c r="B783" s="1180"/>
      <c r="C783" s="1180"/>
      <c r="D783" s="1180"/>
      <c r="E783" s="310"/>
      <c r="F783" s="1180"/>
      <c r="G783" s="1180"/>
      <c r="H783" s="1180"/>
      <c r="I783" s="1180"/>
      <c r="J783" s="1180" t="s">
        <v>1026</v>
      </c>
      <c r="K783" s="1180"/>
      <c r="L783" s="1180"/>
      <c r="AC783" s="1253"/>
    </row>
    <row r="784">
      <c r="B784" s="1180"/>
      <c r="C784" s="1180"/>
      <c r="D784" s="1180"/>
      <c r="E784" s="310"/>
      <c r="F784" s="1180"/>
      <c r="G784" s="1180"/>
      <c r="H784" s="1180"/>
      <c r="I784" s="1180"/>
      <c r="J784" s="1180" t="s">
        <v>1026</v>
      </c>
      <c r="K784" s="1180"/>
      <c r="L784" s="1180"/>
      <c r="AC784" s="1253"/>
    </row>
    <row r="785">
      <c r="B785" s="1180"/>
      <c r="C785" s="1180"/>
      <c r="D785" s="1180"/>
      <c r="E785" s="310"/>
      <c r="F785" s="1180"/>
      <c r="G785" s="1180"/>
      <c r="H785" s="1180"/>
      <c r="I785" s="1180"/>
      <c r="J785" s="1180" t="s">
        <v>1026</v>
      </c>
      <c r="K785" s="1180"/>
      <c r="L785" s="1180"/>
      <c r="AC785" s="1253"/>
    </row>
    <row r="786">
      <c r="B786" s="1180"/>
      <c r="C786" s="1180"/>
      <c r="D786" s="1180"/>
      <c r="E786" s="310"/>
      <c r="F786" s="1180"/>
      <c r="G786" s="1180"/>
      <c r="H786" s="1180"/>
      <c r="I786" s="1180"/>
      <c r="J786" s="1180" t="s">
        <v>1026</v>
      </c>
      <c r="K786" s="1180"/>
      <c r="L786" s="1180"/>
      <c r="AC786" s="1253"/>
    </row>
    <row r="787">
      <c r="B787" s="1180"/>
      <c r="C787" s="1180"/>
      <c r="D787" s="1180"/>
      <c r="E787" s="310"/>
      <c r="F787" s="1180"/>
      <c r="G787" s="1180"/>
      <c r="H787" s="1180"/>
      <c r="I787" s="1180"/>
      <c r="J787" s="1180" t="s">
        <v>1026</v>
      </c>
      <c r="K787" s="1180"/>
      <c r="L787" s="1180"/>
      <c r="AC787" s="1253"/>
    </row>
    <row r="788">
      <c r="B788" s="1180"/>
      <c r="C788" s="1180"/>
      <c r="D788" s="1180"/>
      <c r="E788" s="310"/>
      <c r="F788" s="1180"/>
      <c r="G788" s="1180"/>
      <c r="H788" s="1180"/>
      <c r="I788" s="1180"/>
      <c r="J788" s="1180" t="s">
        <v>1026</v>
      </c>
      <c r="K788" s="1180"/>
      <c r="L788" s="1180"/>
      <c r="AC788" s="1253"/>
    </row>
    <row r="789">
      <c r="B789" s="1180"/>
      <c r="C789" s="1180"/>
      <c r="D789" s="1180"/>
      <c r="E789" s="310"/>
      <c r="F789" s="1180"/>
      <c r="G789" s="1180"/>
      <c r="H789" s="1180"/>
      <c r="I789" s="1180"/>
      <c r="J789" s="1180" t="s">
        <v>1026</v>
      </c>
      <c r="K789" s="1180"/>
      <c r="L789" s="1180"/>
      <c r="AC789" s="1253"/>
    </row>
    <row r="790">
      <c r="B790" s="1180"/>
      <c r="C790" s="1180"/>
      <c r="D790" s="1180"/>
      <c r="E790" s="310"/>
      <c r="F790" s="1180"/>
      <c r="G790" s="1180"/>
      <c r="H790" s="1180"/>
      <c r="I790" s="1180"/>
      <c r="J790" s="1180" t="s">
        <v>1026</v>
      </c>
      <c r="K790" s="1180"/>
      <c r="L790" s="1180"/>
      <c r="AC790" s="1253"/>
    </row>
    <row r="791">
      <c r="B791" s="1180"/>
      <c r="C791" s="1180"/>
      <c r="D791" s="1180"/>
      <c r="E791" s="310"/>
      <c r="F791" s="1180"/>
      <c r="G791" s="1180"/>
      <c r="H791" s="1180"/>
      <c r="I791" s="1180"/>
      <c r="J791" s="1180" t="s">
        <v>1026</v>
      </c>
      <c r="K791" s="1180"/>
      <c r="L791" s="1180"/>
      <c r="AC791" s="1253"/>
    </row>
    <row r="792">
      <c r="B792" s="1180"/>
      <c r="C792" s="1180"/>
      <c r="D792" s="1180"/>
      <c r="E792" s="310"/>
      <c r="F792" s="1180"/>
      <c r="G792" s="1180"/>
      <c r="H792" s="1180"/>
      <c r="I792" s="1180"/>
      <c r="J792" s="1180" t="s">
        <v>1026</v>
      </c>
      <c r="K792" s="1180"/>
      <c r="L792" s="1180"/>
      <c r="AC792" s="1253"/>
    </row>
    <row r="793">
      <c r="B793" s="1180"/>
      <c r="C793" s="1180"/>
      <c r="D793" s="1180"/>
      <c r="E793" s="310"/>
      <c r="F793" s="1180"/>
      <c r="G793" s="1180"/>
      <c r="H793" s="1180"/>
      <c r="I793" s="1180"/>
      <c r="J793" s="1180" t="s">
        <v>1026</v>
      </c>
      <c r="K793" s="1180"/>
      <c r="L793" s="1180"/>
      <c r="AC793" s="1253"/>
    </row>
    <row r="794">
      <c r="B794" s="1180"/>
      <c r="C794" s="1180"/>
      <c r="D794" s="1180"/>
      <c r="E794" s="310"/>
      <c r="F794" s="1180"/>
      <c r="G794" s="1180"/>
      <c r="H794" s="1180"/>
      <c r="I794" s="1180"/>
      <c r="J794" s="1180" t="s">
        <v>1026</v>
      </c>
      <c r="K794" s="1180"/>
      <c r="L794" s="1180"/>
      <c r="AC794" s="1253"/>
    </row>
    <row r="795">
      <c r="B795" s="1180"/>
      <c r="C795" s="1180"/>
      <c r="D795" s="1180"/>
      <c r="E795" s="310"/>
      <c r="F795" s="1180"/>
      <c r="G795" s="1180"/>
      <c r="H795" s="1180"/>
      <c r="I795" s="1180"/>
      <c r="J795" s="1180" t="s">
        <v>1026</v>
      </c>
      <c r="K795" s="1180"/>
      <c r="L795" s="1180"/>
      <c r="AC795" s="1253"/>
    </row>
    <row r="796">
      <c r="B796" s="1180"/>
      <c r="C796" s="1180"/>
      <c r="D796" s="1180"/>
      <c r="E796" s="310"/>
      <c r="F796" s="1180"/>
      <c r="G796" s="1180"/>
      <c r="H796" s="1180"/>
      <c r="I796" s="1180"/>
      <c r="J796" s="1180" t="s">
        <v>1026</v>
      </c>
      <c r="K796" s="1180"/>
      <c r="L796" s="1180"/>
      <c r="AC796" s="1253"/>
    </row>
    <row r="797">
      <c r="B797" s="1180"/>
      <c r="C797" s="1180"/>
      <c r="D797" s="1180"/>
      <c r="E797" s="310"/>
      <c r="F797" s="1180"/>
      <c r="G797" s="1180"/>
      <c r="H797" s="1180"/>
      <c r="I797" s="1180"/>
      <c r="J797" s="1180" t="s">
        <v>1026</v>
      </c>
      <c r="K797" s="1180"/>
      <c r="L797" s="1180"/>
      <c r="AC797" s="1253"/>
    </row>
    <row r="798">
      <c r="B798" s="1180"/>
      <c r="C798" s="1180"/>
      <c r="D798" s="1180"/>
      <c r="E798" s="310"/>
      <c r="F798" s="1180"/>
      <c r="G798" s="1180"/>
      <c r="H798" s="1180"/>
      <c r="I798" s="1180"/>
      <c r="J798" s="1180" t="s">
        <v>1026</v>
      </c>
      <c r="K798" s="1180"/>
      <c r="L798" s="1180"/>
      <c r="AC798" s="1253"/>
    </row>
    <row r="799">
      <c r="B799" s="1180"/>
      <c r="C799" s="1180"/>
      <c r="D799" s="1180"/>
      <c r="E799" s="310"/>
      <c r="F799" s="1180"/>
      <c r="G799" s="1180"/>
      <c r="H799" s="1180"/>
      <c r="I799" s="1180"/>
      <c r="J799" s="1180" t="s">
        <v>1026</v>
      </c>
      <c r="K799" s="1180"/>
      <c r="L799" s="1180"/>
      <c r="AC799" s="1253"/>
    </row>
    <row r="800">
      <c r="B800" s="1180"/>
      <c r="C800" s="1180"/>
      <c r="D800" s="1180"/>
      <c r="E800" s="310"/>
      <c r="F800" s="1180"/>
      <c r="G800" s="1180"/>
      <c r="H800" s="1180"/>
      <c r="I800" s="1180"/>
      <c r="J800" s="1180" t="s">
        <v>1026</v>
      </c>
      <c r="K800" s="1180"/>
      <c r="L800" s="1180"/>
      <c r="AC800" s="1253"/>
    </row>
    <row r="801">
      <c r="B801" s="1180"/>
      <c r="C801" s="1180"/>
      <c r="D801" s="1180"/>
      <c r="E801" s="310"/>
      <c r="F801" s="1180"/>
      <c r="G801" s="1180"/>
      <c r="H801" s="1180"/>
      <c r="I801" s="1180"/>
      <c r="J801" s="1180" t="s">
        <v>1026</v>
      </c>
      <c r="K801" s="1180"/>
      <c r="L801" s="1180"/>
      <c r="AC801" s="1253"/>
    </row>
    <row r="802">
      <c r="B802" s="1180"/>
      <c r="C802" s="1180"/>
      <c r="D802" s="1180"/>
      <c r="E802" s="310"/>
      <c r="F802" s="1180"/>
      <c r="G802" s="1180"/>
      <c r="H802" s="1180"/>
      <c r="I802" s="1180"/>
      <c r="J802" s="1180" t="s">
        <v>1026</v>
      </c>
      <c r="K802" s="1180"/>
      <c r="L802" s="1180"/>
      <c r="AC802" s="1253"/>
    </row>
    <row r="803">
      <c r="B803" s="1180"/>
      <c r="C803" s="1180"/>
      <c r="D803" s="1180"/>
      <c r="E803" s="310"/>
      <c r="F803" s="1180"/>
      <c r="G803" s="1180"/>
      <c r="H803" s="1180"/>
      <c r="I803" s="1180"/>
      <c r="J803" s="1180" t="s">
        <v>1026</v>
      </c>
      <c r="K803" s="1180"/>
      <c r="L803" s="1180"/>
      <c r="AC803" s="1253"/>
    </row>
    <row r="804">
      <c r="B804" s="1180"/>
      <c r="C804" s="1180"/>
      <c r="D804" s="1180"/>
      <c r="E804" s="310"/>
      <c r="F804" s="1180"/>
      <c r="G804" s="1180"/>
      <c r="H804" s="1180"/>
      <c r="I804" s="1180"/>
      <c r="J804" s="1180" t="s">
        <v>1026</v>
      </c>
      <c r="K804" s="1180"/>
      <c r="L804" s="1180"/>
      <c r="AC804" s="1253"/>
    </row>
    <row r="805">
      <c r="B805" s="1180"/>
      <c r="C805" s="1180"/>
      <c r="D805" s="1180"/>
      <c r="E805" s="310"/>
      <c r="F805" s="1180"/>
      <c r="G805" s="1180"/>
      <c r="H805" s="1180"/>
      <c r="I805" s="1180"/>
      <c r="J805" s="1180" t="s">
        <v>1026</v>
      </c>
      <c r="K805" s="1180"/>
      <c r="L805" s="1180"/>
      <c r="AC805" s="1253"/>
    </row>
    <row r="806">
      <c r="B806" s="1180"/>
      <c r="C806" s="1180"/>
      <c r="D806" s="1180"/>
      <c r="E806" s="310"/>
      <c r="F806" s="1180"/>
      <c r="G806" s="1180"/>
      <c r="H806" s="1180"/>
      <c r="I806" s="1180"/>
      <c r="J806" s="1180" t="s">
        <v>1026</v>
      </c>
      <c r="K806" s="1180"/>
      <c r="L806" s="1180"/>
      <c r="AC806" s="1253"/>
    </row>
    <row r="807">
      <c r="B807" s="1180"/>
      <c r="C807" s="1180"/>
      <c r="D807" s="1180"/>
      <c r="E807" s="310"/>
      <c r="F807" s="1180"/>
      <c r="G807" s="1180"/>
      <c r="H807" s="1180"/>
      <c r="I807" s="1180"/>
      <c r="J807" s="1180" t="s">
        <v>1026</v>
      </c>
      <c r="K807" s="1180"/>
      <c r="L807" s="1180"/>
      <c r="AC807" s="1253"/>
    </row>
    <row r="808">
      <c r="B808" s="1180"/>
      <c r="C808" s="1180"/>
      <c r="D808" s="1180"/>
      <c r="E808" s="310"/>
      <c r="F808" s="1180"/>
      <c r="G808" s="1180"/>
      <c r="H808" s="1180"/>
      <c r="I808" s="1180"/>
      <c r="J808" s="1180" t="s">
        <v>1026</v>
      </c>
      <c r="K808" s="1180"/>
      <c r="L808" s="1180"/>
      <c r="AC808" s="1253"/>
    </row>
    <row r="809">
      <c r="B809" s="1180"/>
      <c r="C809" s="1180"/>
      <c r="D809" s="1180"/>
      <c r="E809" s="310"/>
      <c r="F809" s="1180"/>
      <c r="G809" s="1180"/>
      <c r="H809" s="1180"/>
      <c r="I809" s="1180"/>
      <c r="J809" s="1180" t="s">
        <v>1026</v>
      </c>
      <c r="K809" s="1180"/>
      <c r="L809" s="1180"/>
      <c r="AC809" s="1253"/>
    </row>
    <row r="810">
      <c r="B810" s="1180"/>
      <c r="C810" s="1180"/>
      <c r="D810" s="1180"/>
      <c r="E810" s="310"/>
      <c r="F810" s="1180"/>
      <c r="G810" s="1180"/>
      <c r="H810" s="1180"/>
      <c r="I810" s="1180"/>
      <c r="J810" s="1180" t="s">
        <v>1026</v>
      </c>
      <c r="K810" s="1180"/>
      <c r="L810" s="1180"/>
      <c r="AC810" s="1253"/>
    </row>
    <row r="811">
      <c r="B811" s="1180"/>
      <c r="C811" s="1180"/>
      <c r="D811" s="1180"/>
      <c r="E811" s="310"/>
      <c r="F811" s="1180"/>
      <c r="G811" s="1180"/>
      <c r="H811" s="1180"/>
      <c r="I811" s="1180"/>
      <c r="J811" s="1180" t="s">
        <v>1026</v>
      </c>
      <c r="K811" s="1180"/>
      <c r="L811" s="1180"/>
      <c r="AC811" s="1253"/>
    </row>
    <row r="812">
      <c r="B812" s="1180"/>
      <c r="C812" s="1180"/>
      <c r="D812" s="1180"/>
      <c r="E812" s="310"/>
      <c r="F812" s="1180"/>
      <c r="G812" s="1180"/>
      <c r="H812" s="1180"/>
      <c r="I812" s="1180"/>
      <c r="J812" s="1180" t="s">
        <v>1026</v>
      </c>
      <c r="K812" s="1180"/>
      <c r="L812" s="1180"/>
      <c r="AC812" s="1253"/>
    </row>
    <row r="813">
      <c r="B813" s="1180"/>
      <c r="C813" s="1180"/>
      <c r="D813" s="1180"/>
      <c r="E813" s="310"/>
      <c r="F813" s="1180"/>
      <c r="G813" s="1180"/>
      <c r="H813" s="1180"/>
      <c r="I813" s="1180"/>
      <c r="J813" s="1180" t="s">
        <v>1026</v>
      </c>
      <c r="K813" s="1180"/>
      <c r="L813" s="1180"/>
      <c r="AC813" s="1253"/>
    </row>
    <row r="814">
      <c r="B814" s="1180"/>
      <c r="C814" s="1180"/>
      <c r="D814" s="1180"/>
      <c r="E814" s="310"/>
      <c r="F814" s="1180"/>
      <c r="G814" s="1180"/>
      <c r="H814" s="1180"/>
      <c r="I814" s="1180"/>
      <c r="J814" s="1180" t="s">
        <v>1026</v>
      </c>
      <c r="K814" s="1180"/>
      <c r="L814" s="1180"/>
      <c r="AC814" s="1253"/>
    </row>
    <row r="815">
      <c r="B815" s="1180"/>
      <c r="C815" s="1180"/>
      <c r="D815" s="1180"/>
      <c r="E815" s="310"/>
      <c r="F815" s="1180"/>
      <c r="G815" s="1180"/>
      <c r="H815" s="1180"/>
      <c r="I815" s="1180"/>
      <c r="J815" s="1180" t="s">
        <v>1026</v>
      </c>
      <c r="K815" s="1180"/>
      <c r="L815" s="1180"/>
      <c r="AC815" s="1253"/>
    </row>
    <row r="816">
      <c r="B816" s="1180"/>
      <c r="C816" s="1180"/>
      <c r="D816" s="1180"/>
      <c r="E816" s="310"/>
      <c r="F816" s="1180"/>
      <c r="G816" s="1180"/>
      <c r="H816" s="1180"/>
      <c r="I816" s="1180"/>
      <c r="J816" s="1180" t="s">
        <v>1026</v>
      </c>
      <c r="K816" s="1180"/>
      <c r="L816" s="1180"/>
      <c r="AC816" s="1253"/>
    </row>
    <row r="817">
      <c r="B817" s="1180"/>
      <c r="C817" s="1180"/>
      <c r="D817" s="1180"/>
      <c r="E817" s="310"/>
      <c r="F817" s="1180"/>
      <c r="G817" s="1180"/>
      <c r="H817" s="1180"/>
      <c r="I817" s="1180"/>
      <c r="J817" s="1180" t="s">
        <v>1026</v>
      </c>
      <c r="K817" s="1180"/>
      <c r="L817" s="1180"/>
      <c r="AC817" s="1253"/>
    </row>
    <row r="818">
      <c r="B818" s="1180"/>
      <c r="C818" s="1180"/>
      <c r="D818" s="1180"/>
      <c r="E818" s="310"/>
      <c r="F818" s="1180"/>
      <c r="G818" s="1180"/>
      <c r="H818" s="1180"/>
      <c r="I818" s="1180"/>
      <c r="J818" s="1180" t="s">
        <v>1026</v>
      </c>
      <c r="K818" s="1180"/>
      <c r="L818" s="1180"/>
      <c r="AC818" s="1253"/>
    </row>
    <row r="819">
      <c r="B819" s="1180"/>
      <c r="C819" s="1180"/>
      <c r="D819" s="1180"/>
      <c r="E819" s="310"/>
      <c r="F819" s="1180"/>
      <c r="G819" s="1180"/>
      <c r="H819" s="1180"/>
      <c r="I819" s="1180"/>
      <c r="J819" s="1180" t="s">
        <v>1026</v>
      </c>
      <c r="K819" s="1180"/>
      <c r="L819" s="1180"/>
      <c r="AC819" s="1253"/>
    </row>
    <row r="820">
      <c r="B820" s="1180"/>
      <c r="C820" s="1180"/>
      <c r="D820" s="1180"/>
      <c r="E820" s="310"/>
      <c r="F820" s="1180"/>
      <c r="G820" s="1180"/>
      <c r="H820" s="1180"/>
      <c r="I820" s="1180"/>
      <c r="J820" s="1180" t="s">
        <v>1026</v>
      </c>
      <c r="K820" s="1180"/>
      <c r="L820" s="1180"/>
      <c r="AC820" s="1253"/>
    </row>
    <row r="821">
      <c r="B821" s="1180"/>
      <c r="C821" s="1180"/>
      <c r="D821" s="1180"/>
      <c r="E821" s="310"/>
      <c r="F821" s="1180"/>
      <c r="G821" s="1180"/>
      <c r="H821" s="1180"/>
      <c r="I821" s="1180"/>
      <c r="J821" s="1180" t="s">
        <v>1026</v>
      </c>
      <c r="K821" s="1180"/>
      <c r="L821" s="1180"/>
      <c r="AC821" s="1253"/>
    </row>
    <row r="822">
      <c r="B822" s="1180"/>
      <c r="C822" s="1180"/>
      <c r="D822" s="1180"/>
      <c r="E822" s="310"/>
      <c r="F822" s="1180"/>
      <c r="G822" s="1180"/>
      <c r="H822" s="1180"/>
      <c r="I822" s="1180"/>
      <c r="J822" s="1180" t="s">
        <v>1026</v>
      </c>
      <c r="K822" s="1180"/>
      <c r="L822" s="1180"/>
      <c r="AC822" s="1253"/>
    </row>
    <row r="823">
      <c r="B823" s="1180"/>
      <c r="C823" s="1180"/>
      <c r="D823" s="1180"/>
      <c r="E823" s="310"/>
      <c r="F823" s="1180"/>
      <c r="G823" s="1180"/>
      <c r="H823" s="1180"/>
      <c r="I823" s="1180"/>
      <c r="J823" s="1180" t="s">
        <v>1026</v>
      </c>
      <c r="K823" s="1180"/>
      <c r="L823" s="1180"/>
      <c r="AC823" s="1253"/>
    </row>
    <row r="824">
      <c r="B824" s="1180"/>
      <c r="C824" s="1180"/>
      <c r="D824" s="1180"/>
      <c r="E824" s="310"/>
      <c r="F824" s="1180"/>
      <c r="G824" s="1180"/>
      <c r="H824" s="1180"/>
      <c r="I824" s="1180"/>
      <c r="J824" s="1180" t="s">
        <v>1026</v>
      </c>
      <c r="K824" s="1180"/>
      <c r="L824" s="1180"/>
      <c r="AC824" s="1253"/>
    </row>
    <row r="825">
      <c r="B825" s="1180"/>
      <c r="C825" s="1180"/>
      <c r="D825" s="1180"/>
      <c r="E825" s="310"/>
      <c r="F825" s="1180"/>
      <c r="G825" s="1180"/>
      <c r="H825" s="1180"/>
      <c r="I825" s="1180"/>
      <c r="J825" s="1180" t="s">
        <v>1026</v>
      </c>
      <c r="K825" s="1180"/>
      <c r="L825" s="1180"/>
      <c r="AC825" s="1253"/>
    </row>
    <row r="826">
      <c r="B826" s="1180"/>
      <c r="C826" s="1180"/>
      <c r="D826" s="1180"/>
      <c r="E826" s="310"/>
      <c r="F826" s="1180"/>
      <c r="G826" s="1180"/>
      <c r="H826" s="1180"/>
      <c r="I826" s="1180"/>
      <c r="J826" s="1180" t="s">
        <v>1026</v>
      </c>
      <c r="K826" s="1180"/>
      <c r="L826" s="1180"/>
      <c r="AC826" s="1253"/>
    </row>
    <row r="827">
      <c r="B827" s="1180"/>
      <c r="C827" s="1180"/>
      <c r="D827" s="1180"/>
      <c r="E827" s="310"/>
      <c r="F827" s="1180"/>
      <c r="G827" s="1180"/>
      <c r="H827" s="1180"/>
      <c r="I827" s="1180"/>
      <c r="J827" s="1180" t="s">
        <v>1026</v>
      </c>
      <c r="K827" s="1180"/>
      <c r="L827" s="1180"/>
      <c r="AC827" s="1253"/>
    </row>
    <row r="828">
      <c r="B828" s="1180"/>
      <c r="C828" s="1180"/>
      <c r="D828" s="1180"/>
      <c r="E828" s="310"/>
      <c r="F828" s="1180"/>
      <c r="G828" s="1180"/>
      <c r="H828" s="1180"/>
      <c r="I828" s="1180"/>
      <c r="J828" s="1180" t="s">
        <v>1026</v>
      </c>
      <c r="K828" s="1180"/>
      <c r="L828" s="1180"/>
      <c r="AC828" s="1253"/>
    </row>
    <row r="829">
      <c r="B829" s="1180"/>
      <c r="C829" s="1180"/>
      <c r="D829" s="1180"/>
      <c r="E829" s="310"/>
      <c r="F829" s="1180"/>
      <c r="G829" s="1180"/>
      <c r="H829" s="1180"/>
      <c r="I829" s="1180"/>
      <c r="J829" s="1180" t="s">
        <v>1026</v>
      </c>
      <c r="K829" s="1180"/>
      <c r="L829" s="1180"/>
      <c r="AC829" s="1253"/>
    </row>
    <row r="830">
      <c r="B830" s="1180"/>
      <c r="C830" s="1180"/>
      <c r="D830" s="1180"/>
      <c r="E830" s="310"/>
      <c r="F830" s="1180"/>
      <c r="G830" s="1180"/>
      <c r="H830" s="1180"/>
      <c r="I830" s="1180"/>
      <c r="J830" s="1180" t="s">
        <v>1026</v>
      </c>
      <c r="K830" s="1180"/>
      <c r="L830" s="1180"/>
      <c r="AC830" s="1253"/>
    </row>
    <row r="831">
      <c r="B831" s="1180"/>
      <c r="C831" s="1180"/>
      <c r="D831" s="1180"/>
      <c r="E831" s="310"/>
      <c r="F831" s="1180"/>
      <c r="G831" s="1180"/>
      <c r="H831" s="1180"/>
      <c r="I831" s="1180"/>
      <c r="J831" s="1180" t="s">
        <v>1026</v>
      </c>
      <c r="K831" s="1180"/>
      <c r="L831" s="1180"/>
      <c r="AC831" s="1253"/>
    </row>
    <row r="832">
      <c r="B832" s="1180"/>
      <c r="C832" s="1180"/>
      <c r="D832" s="1180"/>
      <c r="E832" s="310"/>
      <c r="F832" s="1180"/>
      <c r="G832" s="1180"/>
      <c r="H832" s="1180"/>
      <c r="I832" s="1180"/>
      <c r="J832" s="1180" t="s">
        <v>1026</v>
      </c>
      <c r="K832" s="1180"/>
      <c r="L832" s="1180"/>
      <c r="AC832" s="1253"/>
    </row>
    <row r="833">
      <c r="B833" s="1180"/>
      <c r="C833" s="1180"/>
      <c r="D833" s="1180"/>
      <c r="E833" s="310"/>
      <c r="F833" s="1180"/>
      <c r="G833" s="1180"/>
      <c r="H833" s="1180"/>
      <c r="I833" s="1180"/>
      <c r="J833" s="1180" t="s">
        <v>1026</v>
      </c>
      <c r="K833" s="1180"/>
      <c r="L833" s="1180"/>
      <c r="AC833" s="1253"/>
    </row>
    <row r="834">
      <c r="B834" s="1180"/>
      <c r="C834" s="1180"/>
      <c r="D834" s="1180"/>
      <c r="E834" s="310"/>
      <c r="F834" s="1180"/>
      <c r="G834" s="1180"/>
      <c r="H834" s="1180"/>
      <c r="I834" s="1180"/>
      <c r="J834" s="1180" t="s">
        <v>1026</v>
      </c>
      <c r="K834" s="1180"/>
      <c r="L834" s="1180"/>
      <c r="AC834" s="1253"/>
    </row>
    <row r="835">
      <c r="B835" s="1180"/>
      <c r="C835" s="1180"/>
      <c r="D835" s="1180"/>
      <c r="E835" s="310"/>
      <c r="F835" s="1180"/>
      <c r="G835" s="1180"/>
      <c r="H835" s="1180"/>
      <c r="I835" s="1180"/>
      <c r="J835" s="1180" t="s">
        <v>1026</v>
      </c>
      <c r="K835" s="1180"/>
      <c r="L835" s="1180"/>
      <c r="AC835" s="1253"/>
    </row>
    <row r="836">
      <c r="B836" s="1180"/>
      <c r="C836" s="1180"/>
      <c r="D836" s="1180"/>
      <c r="E836" s="310"/>
      <c r="F836" s="1180"/>
      <c r="G836" s="1180"/>
      <c r="H836" s="1180"/>
      <c r="I836" s="1180"/>
      <c r="J836" s="1180" t="s">
        <v>1026</v>
      </c>
      <c r="K836" s="1180"/>
      <c r="L836" s="1180"/>
      <c r="AC836" s="1253"/>
    </row>
    <row r="837">
      <c r="B837" s="1180"/>
      <c r="C837" s="1180"/>
      <c r="D837" s="1180"/>
      <c r="E837" s="310"/>
      <c r="F837" s="1180"/>
      <c r="G837" s="1180"/>
      <c r="H837" s="1180"/>
      <c r="I837" s="1180"/>
      <c r="J837" s="1180" t="s">
        <v>1026</v>
      </c>
      <c r="K837" s="1180"/>
      <c r="L837" s="1180"/>
      <c r="AC837" s="1253"/>
    </row>
    <row r="838">
      <c r="B838" s="1180"/>
      <c r="C838" s="1180"/>
      <c r="D838" s="1180"/>
      <c r="E838" s="310"/>
      <c r="F838" s="1180"/>
      <c r="G838" s="1180"/>
      <c r="H838" s="1180"/>
      <c r="I838" s="1180"/>
      <c r="J838" s="1180" t="s">
        <v>1026</v>
      </c>
      <c r="K838" s="1180"/>
      <c r="L838" s="1180"/>
      <c r="AC838" s="1253"/>
    </row>
    <row r="839">
      <c r="B839" s="1180"/>
      <c r="C839" s="1180"/>
      <c r="D839" s="1180"/>
      <c r="E839" s="310"/>
      <c r="F839" s="1180"/>
      <c r="G839" s="1180"/>
      <c r="H839" s="1180"/>
      <c r="I839" s="1180"/>
      <c r="J839" s="1180" t="s">
        <v>1026</v>
      </c>
      <c r="K839" s="1180"/>
      <c r="L839" s="1180"/>
      <c r="AC839" s="1253"/>
    </row>
    <row r="840">
      <c r="B840" s="1180"/>
      <c r="C840" s="1180"/>
      <c r="D840" s="1180"/>
      <c r="E840" s="310"/>
      <c r="F840" s="1180"/>
      <c r="G840" s="1180"/>
      <c r="H840" s="1180"/>
      <c r="I840" s="1180"/>
      <c r="J840" s="1180" t="s">
        <v>1026</v>
      </c>
      <c r="K840" s="1180"/>
      <c r="L840" s="1180"/>
      <c r="AC840" s="1253"/>
    </row>
    <row r="841">
      <c r="B841" s="1180"/>
      <c r="C841" s="1180"/>
      <c r="D841" s="1180"/>
      <c r="E841" s="310"/>
      <c r="F841" s="1180"/>
      <c r="G841" s="1180"/>
      <c r="H841" s="1180"/>
      <c r="I841" s="1180"/>
      <c r="J841" s="1180" t="s">
        <v>1026</v>
      </c>
      <c r="K841" s="1180"/>
      <c r="L841" s="1180"/>
      <c r="AC841" s="1253"/>
    </row>
    <row r="842">
      <c r="B842" s="1180"/>
      <c r="C842" s="1180"/>
      <c r="D842" s="1180"/>
      <c r="E842" s="310"/>
      <c r="F842" s="1180"/>
      <c r="G842" s="1180"/>
      <c r="H842" s="1180"/>
      <c r="I842" s="1180"/>
      <c r="J842" s="1180" t="s">
        <v>1026</v>
      </c>
      <c r="K842" s="1180"/>
      <c r="L842" s="1180"/>
      <c r="AC842" s="1253"/>
    </row>
    <row r="843">
      <c r="B843" s="1180"/>
      <c r="C843" s="1180"/>
      <c r="D843" s="1180"/>
      <c r="E843" s="310"/>
      <c r="F843" s="1180"/>
      <c r="G843" s="1180"/>
      <c r="H843" s="1180"/>
      <c r="I843" s="1180"/>
      <c r="J843" s="1180" t="s">
        <v>1026</v>
      </c>
      <c r="K843" s="1180"/>
      <c r="L843" s="1180"/>
      <c r="AC843" s="1253"/>
    </row>
    <row r="844">
      <c r="B844" s="1180"/>
      <c r="C844" s="1180"/>
      <c r="D844" s="1180"/>
      <c r="E844" s="310"/>
      <c r="F844" s="1180"/>
      <c r="G844" s="1180"/>
      <c r="H844" s="1180"/>
      <c r="I844" s="1180"/>
      <c r="J844" s="1180" t="s">
        <v>1026</v>
      </c>
      <c r="K844" s="1180"/>
      <c r="L844" s="1180"/>
      <c r="AC844" s="1253"/>
    </row>
    <row r="845">
      <c r="B845" s="1180"/>
      <c r="C845" s="1180"/>
      <c r="D845" s="1180"/>
      <c r="E845" s="310"/>
      <c r="F845" s="1180"/>
      <c r="G845" s="1180"/>
      <c r="H845" s="1180"/>
      <c r="I845" s="1180"/>
      <c r="J845" s="1180" t="s">
        <v>1026</v>
      </c>
      <c r="K845" s="1180"/>
      <c r="L845" s="1180"/>
      <c r="AC845" s="1253"/>
    </row>
    <row r="846">
      <c r="B846" s="1180"/>
      <c r="C846" s="1180"/>
      <c r="D846" s="1180"/>
      <c r="E846" s="310"/>
      <c r="F846" s="1180"/>
      <c r="G846" s="1180"/>
      <c r="H846" s="1180"/>
      <c r="I846" s="1180"/>
      <c r="J846" s="1180" t="s">
        <v>1026</v>
      </c>
      <c r="K846" s="1180"/>
      <c r="L846" s="1180"/>
      <c r="AC846" s="1253"/>
    </row>
    <row r="847">
      <c r="B847" s="1180"/>
      <c r="C847" s="1180"/>
      <c r="D847" s="1180"/>
      <c r="E847" s="310"/>
      <c r="F847" s="1180"/>
      <c r="G847" s="1180"/>
      <c r="H847" s="1180"/>
      <c r="I847" s="1180"/>
      <c r="J847" s="1180" t="s">
        <v>1026</v>
      </c>
      <c r="K847" s="1180"/>
      <c r="L847" s="1180"/>
      <c r="AC847" s="1253"/>
    </row>
    <row r="848">
      <c r="B848" s="1180"/>
      <c r="C848" s="1180"/>
      <c r="D848" s="1180"/>
      <c r="E848" s="310"/>
      <c r="F848" s="1180"/>
      <c r="G848" s="1180"/>
      <c r="H848" s="1180"/>
      <c r="I848" s="1180"/>
      <c r="J848" s="1180" t="s">
        <v>1026</v>
      </c>
      <c r="K848" s="1180"/>
      <c r="L848" s="1180"/>
      <c r="AC848" s="1253"/>
    </row>
    <row r="849">
      <c r="B849" s="1180"/>
      <c r="C849" s="1180"/>
      <c r="D849" s="1180"/>
      <c r="E849" s="310"/>
      <c r="F849" s="1180"/>
      <c r="G849" s="1180"/>
      <c r="H849" s="1180"/>
      <c r="I849" s="1180"/>
      <c r="J849" s="1180" t="s">
        <v>1026</v>
      </c>
      <c r="K849" s="1180"/>
      <c r="L849" s="1180"/>
      <c r="AC849" s="1253"/>
    </row>
    <row r="850">
      <c r="B850" s="1180"/>
      <c r="C850" s="1180"/>
      <c r="D850" s="1180"/>
      <c r="E850" s="310"/>
      <c r="F850" s="1180"/>
      <c r="G850" s="1180"/>
      <c r="H850" s="1180"/>
      <c r="I850" s="1180"/>
      <c r="J850" s="1180" t="s">
        <v>1026</v>
      </c>
      <c r="K850" s="1180"/>
      <c r="L850" s="1180"/>
      <c r="AC850" s="1253"/>
    </row>
    <row r="851">
      <c r="B851" s="1180"/>
      <c r="C851" s="1180"/>
      <c r="D851" s="1180"/>
      <c r="E851" s="310"/>
      <c r="F851" s="1180"/>
      <c r="G851" s="1180"/>
      <c r="H851" s="1180"/>
      <c r="I851" s="1180"/>
      <c r="J851" s="1180" t="s">
        <v>1026</v>
      </c>
      <c r="K851" s="1180"/>
      <c r="L851" s="1180"/>
      <c r="AC851" s="1253"/>
    </row>
    <row r="852">
      <c r="B852" s="1180"/>
      <c r="C852" s="1180"/>
      <c r="D852" s="1180"/>
      <c r="E852" s="310"/>
      <c r="F852" s="1180"/>
      <c r="G852" s="1180"/>
      <c r="H852" s="1180"/>
      <c r="I852" s="1180"/>
      <c r="J852" s="1180" t="s">
        <v>1026</v>
      </c>
      <c r="K852" s="1180"/>
      <c r="L852" s="1180"/>
      <c r="AC852" s="1253"/>
    </row>
    <row r="853">
      <c r="B853" s="1180"/>
      <c r="C853" s="1180"/>
      <c r="D853" s="1180"/>
      <c r="E853" s="310"/>
      <c r="F853" s="1180"/>
      <c r="G853" s="1180"/>
      <c r="H853" s="1180"/>
      <c r="I853" s="1180"/>
      <c r="J853" s="1180" t="s">
        <v>1026</v>
      </c>
      <c r="K853" s="1180"/>
      <c r="L853" s="1180"/>
      <c r="AC853" s="1253"/>
    </row>
    <row r="854">
      <c r="B854" s="1180"/>
      <c r="C854" s="1180"/>
      <c r="D854" s="1180"/>
      <c r="E854" s="310"/>
      <c r="F854" s="1180"/>
      <c r="G854" s="1180"/>
      <c r="H854" s="1180"/>
      <c r="I854" s="1180"/>
      <c r="J854" s="1180" t="s">
        <v>1026</v>
      </c>
      <c r="K854" s="1180"/>
      <c r="L854" s="1180"/>
      <c r="AC854" s="1253"/>
    </row>
    <row r="855">
      <c r="B855" s="1180"/>
      <c r="C855" s="1180"/>
      <c r="D855" s="1180"/>
      <c r="E855" s="310"/>
      <c r="F855" s="1180"/>
      <c r="G855" s="1180"/>
      <c r="H855" s="1180"/>
      <c r="I855" s="1180"/>
      <c r="J855" s="1180" t="s">
        <v>1026</v>
      </c>
      <c r="K855" s="1180"/>
      <c r="L855" s="1180"/>
      <c r="AC855" s="1253"/>
    </row>
    <row r="856">
      <c r="B856" s="1180"/>
      <c r="C856" s="1180"/>
      <c r="D856" s="1180"/>
      <c r="E856" s="310"/>
      <c r="F856" s="1180"/>
      <c r="G856" s="1180"/>
      <c r="H856" s="1180"/>
      <c r="I856" s="1180"/>
      <c r="J856" s="1180" t="s">
        <v>1026</v>
      </c>
      <c r="K856" s="1180"/>
      <c r="L856" s="1180"/>
      <c r="AC856" s="1253"/>
    </row>
    <row r="857">
      <c r="B857" s="1180"/>
      <c r="C857" s="1180"/>
      <c r="D857" s="1180"/>
      <c r="E857" s="310"/>
      <c r="F857" s="1180"/>
      <c r="G857" s="1180"/>
      <c r="H857" s="1180"/>
      <c r="I857" s="1180"/>
      <c r="J857" s="1180" t="s">
        <v>1026</v>
      </c>
      <c r="K857" s="1180"/>
      <c r="L857" s="1180"/>
      <c r="AC857" s="1253"/>
    </row>
    <row r="858">
      <c r="B858" s="1180"/>
      <c r="C858" s="1180"/>
      <c r="D858" s="1180"/>
      <c r="E858" s="310"/>
      <c r="F858" s="1180"/>
      <c r="G858" s="1180"/>
      <c r="H858" s="1180"/>
      <c r="I858" s="1180"/>
      <c r="J858" s="1180" t="s">
        <v>1026</v>
      </c>
      <c r="K858" s="1180"/>
      <c r="L858" s="1180"/>
      <c r="AC858" s="1253"/>
    </row>
    <row r="859">
      <c r="B859" s="1180"/>
      <c r="C859" s="1180"/>
      <c r="D859" s="1180"/>
      <c r="E859" s="310"/>
      <c r="F859" s="1180"/>
      <c r="G859" s="1180"/>
      <c r="H859" s="1180"/>
      <c r="I859" s="1180"/>
      <c r="J859" s="1180" t="s">
        <v>1026</v>
      </c>
      <c r="K859" s="1180"/>
      <c r="L859" s="1180"/>
      <c r="AC859" s="1253"/>
    </row>
    <row r="860">
      <c r="B860" s="1180"/>
      <c r="C860" s="1180"/>
      <c r="D860" s="1180"/>
      <c r="E860" s="310"/>
      <c r="F860" s="1180"/>
      <c r="G860" s="1180"/>
      <c r="H860" s="1180"/>
      <c r="I860" s="1180"/>
      <c r="J860" s="1180" t="s">
        <v>1026</v>
      </c>
      <c r="K860" s="1180"/>
      <c r="L860" s="1180"/>
      <c r="AC860" s="1253"/>
    </row>
    <row r="861">
      <c r="B861" s="1180"/>
      <c r="C861" s="1180"/>
      <c r="D861" s="1180"/>
      <c r="E861" s="310"/>
      <c r="F861" s="1180"/>
      <c r="G861" s="1180"/>
      <c r="H861" s="1180"/>
      <c r="I861" s="1180"/>
      <c r="J861" s="1180" t="s">
        <v>1026</v>
      </c>
      <c r="K861" s="1180"/>
      <c r="L861" s="1180"/>
      <c r="AC861" s="1253"/>
    </row>
    <row r="862">
      <c r="B862" s="1180"/>
      <c r="C862" s="1180"/>
      <c r="D862" s="1180"/>
      <c r="E862" s="310"/>
      <c r="F862" s="1180"/>
      <c r="G862" s="1180"/>
      <c r="H862" s="1180"/>
      <c r="I862" s="1180"/>
      <c r="J862" s="1180" t="s">
        <v>1026</v>
      </c>
      <c r="K862" s="1180"/>
      <c r="L862" s="1180"/>
      <c r="AC862" s="1253"/>
    </row>
    <row r="863">
      <c r="B863" s="1180"/>
      <c r="C863" s="1180"/>
      <c r="D863" s="1180"/>
      <c r="E863" s="310"/>
      <c r="F863" s="1180"/>
      <c r="G863" s="1180"/>
      <c r="H863" s="1180"/>
      <c r="I863" s="1180"/>
      <c r="J863" s="1180" t="s">
        <v>1026</v>
      </c>
      <c r="K863" s="1180"/>
      <c r="L863" s="1180"/>
      <c r="AC863" s="1253"/>
    </row>
    <row r="864">
      <c r="B864" s="1180"/>
      <c r="C864" s="1180"/>
      <c r="D864" s="1180"/>
      <c r="E864" s="310"/>
      <c r="F864" s="1180"/>
      <c r="G864" s="1180"/>
      <c r="H864" s="1180"/>
      <c r="I864" s="1180"/>
      <c r="J864" s="1180" t="s">
        <v>1026</v>
      </c>
      <c r="K864" s="1180"/>
      <c r="L864" s="1180"/>
      <c r="AC864" s="1253"/>
    </row>
    <row r="865">
      <c r="B865" s="1180"/>
      <c r="C865" s="1180"/>
      <c r="D865" s="1180"/>
      <c r="E865" s="310"/>
      <c r="F865" s="1180"/>
      <c r="G865" s="1180"/>
      <c r="H865" s="1180"/>
      <c r="I865" s="1180"/>
      <c r="J865" s="1180" t="s">
        <v>1026</v>
      </c>
      <c r="K865" s="1180"/>
      <c r="L865" s="1180"/>
      <c r="AC865" s="1253"/>
    </row>
    <row r="866">
      <c r="B866" s="1180"/>
      <c r="C866" s="1180"/>
      <c r="D866" s="1180"/>
      <c r="E866" s="310"/>
      <c r="F866" s="1180"/>
      <c r="G866" s="1180"/>
      <c r="H866" s="1180"/>
      <c r="I866" s="1180"/>
      <c r="J866" s="1180" t="s">
        <v>1026</v>
      </c>
      <c r="K866" s="1180"/>
      <c r="L866" s="1180"/>
      <c r="AC866" s="1253"/>
    </row>
    <row r="867">
      <c r="B867" s="1180"/>
      <c r="C867" s="1180"/>
      <c r="D867" s="1180"/>
      <c r="E867" s="310"/>
      <c r="F867" s="1180"/>
      <c r="G867" s="1180"/>
      <c r="H867" s="1180"/>
      <c r="I867" s="1180"/>
      <c r="J867" s="1180" t="s">
        <v>1026</v>
      </c>
      <c r="K867" s="1180"/>
      <c r="L867" s="1180"/>
      <c r="AC867" s="1253"/>
    </row>
    <row r="868">
      <c r="B868" s="1180"/>
      <c r="C868" s="1180"/>
      <c r="D868" s="1180"/>
      <c r="E868" s="310"/>
      <c r="F868" s="1180"/>
      <c r="G868" s="1180"/>
      <c r="H868" s="1180"/>
      <c r="I868" s="1180"/>
      <c r="J868" s="1180" t="s">
        <v>1026</v>
      </c>
      <c r="K868" s="1180"/>
      <c r="L868" s="1180"/>
      <c r="AC868" s="1253"/>
    </row>
    <row r="869">
      <c r="B869" s="1180"/>
      <c r="C869" s="1180"/>
      <c r="D869" s="1180"/>
      <c r="E869" s="310"/>
      <c r="F869" s="1180"/>
      <c r="G869" s="1180"/>
      <c r="H869" s="1180"/>
      <c r="I869" s="1180"/>
      <c r="J869" s="1180" t="s">
        <v>1026</v>
      </c>
      <c r="K869" s="1180"/>
      <c r="L869" s="1180"/>
      <c r="AC869" s="1253"/>
    </row>
    <row r="870">
      <c r="B870" s="1180"/>
      <c r="C870" s="1180"/>
      <c r="D870" s="1180"/>
      <c r="E870" s="310"/>
      <c r="F870" s="1180"/>
      <c r="G870" s="1180"/>
      <c r="H870" s="1180"/>
      <c r="I870" s="1180"/>
      <c r="J870" s="1180" t="s">
        <v>1026</v>
      </c>
      <c r="K870" s="1180"/>
      <c r="L870" s="1180"/>
      <c r="AC870" s="1253"/>
    </row>
    <row r="871">
      <c r="B871" s="1180"/>
      <c r="C871" s="1180"/>
      <c r="D871" s="1180"/>
      <c r="E871" s="310"/>
      <c r="F871" s="1180"/>
      <c r="G871" s="1180"/>
      <c r="H871" s="1180"/>
      <c r="I871" s="1180"/>
      <c r="J871" s="1180" t="s">
        <v>1026</v>
      </c>
      <c r="K871" s="1180"/>
      <c r="L871" s="1180"/>
      <c r="AC871" s="1253"/>
    </row>
    <row r="872">
      <c r="B872" s="1180"/>
      <c r="C872" s="1180"/>
      <c r="D872" s="1180"/>
      <c r="E872" s="310"/>
      <c r="F872" s="1180"/>
      <c r="G872" s="1180"/>
      <c r="H872" s="1180"/>
      <c r="I872" s="1180"/>
      <c r="J872" s="1180" t="s">
        <v>1026</v>
      </c>
      <c r="K872" s="1180"/>
      <c r="L872" s="1180"/>
      <c r="AC872" s="1253"/>
    </row>
    <row r="873">
      <c r="B873" s="1180"/>
      <c r="C873" s="1180"/>
      <c r="D873" s="1180"/>
      <c r="E873" s="310"/>
      <c r="F873" s="1180"/>
      <c r="G873" s="1180"/>
      <c r="H873" s="1180"/>
      <c r="I873" s="1180"/>
      <c r="J873" s="1180" t="s">
        <v>1026</v>
      </c>
      <c r="K873" s="1180"/>
      <c r="L873" s="1180"/>
      <c r="AC873" s="1253"/>
    </row>
    <row r="874">
      <c r="B874" s="1180"/>
      <c r="C874" s="1180"/>
      <c r="D874" s="1180"/>
      <c r="E874" s="310"/>
      <c r="F874" s="1180"/>
      <c r="G874" s="1180"/>
      <c r="H874" s="1180"/>
      <c r="I874" s="1180"/>
      <c r="J874" s="1180" t="s">
        <v>1026</v>
      </c>
      <c r="K874" s="1180"/>
      <c r="L874" s="1180"/>
      <c r="AC874" s="1253"/>
    </row>
    <row r="875">
      <c r="B875" s="1180"/>
      <c r="C875" s="1180"/>
      <c r="D875" s="1180"/>
      <c r="E875" s="310"/>
      <c r="F875" s="1180"/>
      <c r="G875" s="1180"/>
      <c r="H875" s="1180"/>
      <c r="I875" s="1180"/>
      <c r="J875" s="1180" t="s">
        <v>1026</v>
      </c>
      <c r="K875" s="1180"/>
      <c r="L875" s="1180"/>
      <c r="AC875" s="1253"/>
    </row>
    <row r="876">
      <c r="B876" s="1180"/>
      <c r="C876" s="1180"/>
      <c r="D876" s="1180"/>
      <c r="E876" s="310"/>
      <c r="F876" s="1180"/>
      <c r="G876" s="1180"/>
      <c r="H876" s="1180"/>
      <c r="I876" s="1180"/>
      <c r="J876" s="1180" t="s">
        <v>1026</v>
      </c>
      <c r="K876" s="1180"/>
      <c r="L876" s="1180"/>
      <c r="AC876" s="1253"/>
    </row>
    <row r="877">
      <c r="B877" s="1180"/>
      <c r="C877" s="1180"/>
      <c r="D877" s="1180"/>
      <c r="E877" s="310"/>
      <c r="F877" s="1180"/>
      <c r="G877" s="1180"/>
      <c r="H877" s="1180"/>
      <c r="I877" s="1180"/>
      <c r="J877" s="1180" t="s">
        <v>1026</v>
      </c>
      <c r="K877" s="1180"/>
      <c r="L877" s="1180"/>
      <c r="AC877" s="1253"/>
    </row>
    <row r="878">
      <c r="B878" s="1180"/>
      <c r="C878" s="1180"/>
      <c r="D878" s="1180"/>
      <c r="E878" s="310"/>
      <c r="F878" s="1180"/>
      <c r="G878" s="1180"/>
      <c r="H878" s="1180"/>
      <c r="I878" s="1180"/>
      <c r="J878" s="1180" t="s">
        <v>1026</v>
      </c>
      <c r="K878" s="1180"/>
      <c r="L878" s="1180"/>
      <c r="AC878" s="1253"/>
    </row>
    <row r="879">
      <c r="B879" s="1180"/>
      <c r="C879" s="1180"/>
      <c r="D879" s="1180"/>
      <c r="E879" s="310"/>
      <c r="F879" s="1180"/>
      <c r="G879" s="1180"/>
      <c r="H879" s="1180"/>
      <c r="I879" s="1180"/>
      <c r="J879" s="1180" t="s">
        <v>1026</v>
      </c>
      <c r="K879" s="1180"/>
      <c r="L879" s="1180"/>
      <c r="AC879" s="1253"/>
    </row>
    <row r="880">
      <c r="B880" s="1180"/>
      <c r="C880" s="1180"/>
      <c r="D880" s="1180"/>
      <c r="E880" s="310"/>
      <c r="F880" s="1180"/>
      <c r="G880" s="1180"/>
      <c r="H880" s="1180"/>
      <c r="I880" s="1180"/>
      <c r="J880" s="1180" t="s">
        <v>1026</v>
      </c>
      <c r="K880" s="1180"/>
      <c r="L880" s="1180"/>
      <c r="AC880" s="1253"/>
    </row>
    <row r="881">
      <c r="B881" s="1180"/>
      <c r="C881" s="1180"/>
      <c r="D881" s="1180"/>
      <c r="E881" s="310"/>
      <c r="F881" s="1180"/>
      <c r="G881" s="1180"/>
      <c r="H881" s="1180"/>
      <c r="I881" s="1180"/>
      <c r="J881" s="1180" t="s">
        <v>1026</v>
      </c>
      <c r="K881" s="1180"/>
      <c r="L881" s="1180"/>
      <c r="AC881" s="1253"/>
    </row>
    <row r="882">
      <c r="B882" s="1180"/>
      <c r="C882" s="1180"/>
      <c r="D882" s="1180"/>
      <c r="E882" s="310"/>
      <c r="F882" s="1180"/>
      <c r="G882" s="1180"/>
      <c r="H882" s="1180"/>
      <c r="I882" s="1180"/>
      <c r="J882" s="1180" t="s">
        <v>1026</v>
      </c>
      <c r="K882" s="1180"/>
      <c r="L882" s="1180"/>
      <c r="AC882" s="1253"/>
    </row>
    <row r="883">
      <c r="B883" s="1180"/>
      <c r="C883" s="1180"/>
      <c r="D883" s="1180"/>
      <c r="E883" s="310"/>
      <c r="F883" s="1180"/>
      <c r="G883" s="1180"/>
      <c r="H883" s="1180"/>
      <c r="I883" s="1180"/>
      <c r="J883" s="1180" t="s">
        <v>1026</v>
      </c>
      <c r="K883" s="1180"/>
      <c r="L883" s="1180"/>
      <c r="AC883" s="1253"/>
    </row>
    <row r="884">
      <c r="B884" s="1180"/>
      <c r="C884" s="1180"/>
      <c r="D884" s="1180"/>
      <c r="E884" s="310"/>
      <c r="F884" s="1180"/>
      <c r="G884" s="1180"/>
      <c r="H884" s="1180"/>
      <c r="I884" s="1180"/>
      <c r="J884" s="1180" t="s">
        <v>1026</v>
      </c>
      <c r="K884" s="1180"/>
      <c r="L884" s="1180"/>
      <c r="AC884" s="1253"/>
    </row>
    <row r="885">
      <c r="B885" s="1180"/>
      <c r="C885" s="1180"/>
      <c r="D885" s="1180"/>
      <c r="E885" s="310"/>
      <c r="F885" s="1180"/>
      <c r="G885" s="1180"/>
      <c r="H885" s="1180"/>
      <c r="I885" s="1180"/>
      <c r="J885" s="1180" t="s">
        <v>1026</v>
      </c>
      <c r="K885" s="1180"/>
      <c r="L885" s="1180"/>
      <c r="AC885" s="1253"/>
    </row>
    <row r="886">
      <c r="B886" s="1180"/>
      <c r="C886" s="1180"/>
      <c r="D886" s="1180"/>
      <c r="E886" s="310"/>
      <c r="F886" s="1180"/>
      <c r="G886" s="1180"/>
      <c r="H886" s="1180"/>
      <c r="I886" s="1180"/>
      <c r="J886" s="1180" t="s">
        <v>1026</v>
      </c>
      <c r="K886" s="1180"/>
      <c r="L886" s="1180"/>
      <c r="AC886" s="1253"/>
    </row>
    <row r="887">
      <c r="B887" s="1180"/>
      <c r="C887" s="1180"/>
      <c r="D887" s="1180"/>
      <c r="E887" s="310"/>
      <c r="F887" s="1180"/>
      <c r="G887" s="1180"/>
      <c r="H887" s="1180"/>
      <c r="I887" s="1180"/>
      <c r="J887" s="1180" t="s">
        <v>1026</v>
      </c>
      <c r="K887" s="1180"/>
      <c r="L887" s="1180"/>
      <c r="AC887" s="1253"/>
    </row>
    <row r="888">
      <c r="B888" s="1180"/>
      <c r="C888" s="1180"/>
      <c r="D888" s="1180"/>
      <c r="E888" s="310"/>
      <c r="F888" s="1180"/>
      <c r="G888" s="1180"/>
      <c r="H888" s="1180"/>
      <c r="I888" s="1180"/>
      <c r="J888" s="1180" t="s">
        <v>1026</v>
      </c>
      <c r="K888" s="1180"/>
      <c r="L888" s="1180"/>
      <c r="AC888" s="1253"/>
    </row>
    <row r="889">
      <c r="B889" s="1180"/>
      <c r="C889" s="1180"/>
      <c r="D889" s="1180"/>
      <c r="E889" s="310"/>
      <c r="F889" s="1180"/>
      <c r="G889" s="1180"/>
      <c r="H889" s="1180"/>
      <c r="I889" s="1180"/>
      <c r="J889" s="1180" t="s">
        <v>1026</v>
      </c>
      <c r="K889" s="1180"/>
      <c r="L889" s="1180"/>
      <c r="AC889" s="1253"/>
    </row>
    <row r="890">
      <c r="B890" s="1180"/>
      <c r="C890" s="1180"/>
      <c r="D890" s="1180"/>
      <c r="E890" s="310"/>
      <c r="F890" s="1180"/>
      <c r="G890" s="1180"/>
      <c r="H890" s="1180"/>
      <c r="I890" s="1180"/>
      <c r="J890" s="1180" t="s">
        <v>1026</v>
      </c>
      <c r="K890" s="1180"/>
      <c r="L890" s="1180"/>
      <c r="AC890" s="1253"/>
    </row>
    <row r="891">
      <c r="B891" s="1180"/>
      <c r="C891" s="1180"/>
      <c r="D891" s="1180"/>
      <c r="E891" s="310"/>
      <c r="F891" s="1180"/>
      <c r="G891" s="1180"/>
      <c r="H891" s="1180"/>
      <c r="I891" s="1180"/>
      <c r="J891" s="1180" t="s">
        <v>1026</v>
      </c>
      <c r="K891" s="1180"/>
      <c r="L891" s="1180"/>
      <c r="AC891" s="1253"/>
    </row>
    <row r="892">
      <c r="B892" s="1180"/>
      <c r="C892" s="1180"/>
      <c r="D892" s="1180"/>
      <c r="E892" s="310"/>
      <c r="F892" s="1180"/>
      <c r="G892" s="1180"/>
      <c r="H892" s="1180"/>
      <c r="I892" s="1180"/>
      <c r="J892" s="1180" t="s">
        <v>1026</v>
      </c>
      <c r="K892" s="1180"/>
      <c r="L892" s="1180"/>
      <c r="AC892" s="1253"/>
    </row>
    <row r="893">
      <c r="B893" s="1180"/>
      <c r="C893" s="1180"/>
      <c r="D893" s="1180"/>
      <c r="E893" s="310"/>
      <c r="F893" s="1180"/>
      <c r="G893" s="1180"/>
      <c r="H893" s="1180"/>
      <c r="I893" s="1180"/>
      <c r="J893" s="1180" t="s">
        <v>1026</v>
      </c>
      <c r="K893" s="1180"/>
      <c r="L893" s="1180"/>
      <c r="AC893" s="1253"/>
    </row>
    <row r="894">
      <c r="B894" s="1180"/>
      <c r="C894" s="1180"/>
      <c r="D894" s="1180"/>
      <c r="E894" s="310"/>
      <c r="F894" s="1180"/>
      <c r="G894" s="1180"/>
      <c r="H894" s="1180"/>
      <c r="I894" s="1180"/>
      <c r="J894" s="1180" t="s">
        <v>1026</v>
      </c>
      <c r="K894" s="1180"/>
      <c r="L894" s="1180"/>
      <c r="AC894" s="1253"/>
    </row>
    <row r="895">
      <c r="B895" s="1180"/>
      <c r="C895" s="1180"/>
      <c r="D895" s="1180"/>
      <c r="E895" s="310"/>
      <c r="F895" s="1180"/>
      <c r="G895" s="1180"/>
      <c r="H895" s="1180"/>
      <c r="I895" s="1180"/>
      <c r="J895" s="1180" t="s">
        <v>1026</v>
      </c>
      <c r="K895" s="1180"/>
      <c r="L895" s="1180"/>
      <c r="AC895" s="1253"/>
    </row>
    <row r="896">
      <c r="B896" s="1180"/>
      <c r="C896" s="1180"/>
      <c r="D896" s="1180"/>
      <c r="E896" s="310"/>
      <c r="F896" s="1180"/>
      <c r="G896" s="1180"/>
      <c r="H896" s="1180"/>
      <c r="I896" s="1180"/>
      <c r="J896" s="1180" t="s">
        <v>1026</v>
      </c>
      <c r="K896" s="1180"/>
      <c r="L896" s="1180"/>
      <c r="AC896" s="1253"/>
    </row>
    <row r="897">
      <c r="B897" s="1180"/>
      <c r="C897" s="1180"/>
      <c r="D897" s="1180"/>
      <c r="E897" s="310"/>
      <c r="F897" s="1180"/>
      <c r="G897" s="1180"/>
      <c r="H897" s="1180"/>
      <c r="I897" s="1180"/>
      <c r="J897" s="1180" t="s">
        <v>1026</v>
      </c>
      <c r="K897" s="1180"/>
      <c r="L897" s="1180"/>
      <c r="AC897" s="1253"/>
    </row>
    <row r="898">
      <c r="B898" s="1180"/>
      <c r="C898" s="1180"/>
      <c r="D898" s="1180"/>
      <c r="E898" s="310"/>
      <c r="F898" s="1180"/>
      <c r="G898" s="1180"/>
      <c r="H898" s="1180"/>
      <c r="I898" s="1180"/>
      <c r="J898" s="1180" t="s">
        <v>1026</v>
      </c>
      <c r="K898" s="1180"/>
      <c r="L898" s="1180"/>
      <c r="AC898" s="1253"/>
    </row>
    <row r="899">
      <c r="B899" s="1180"/>
      <c r="C899" s="1180"/>
      <c r="D899" s="1180"/>
      <c r="E899" s="310"/>
      <c r="F899" s="1180"/>
      <c r="G899" s="1180"/>
      <c r="H899" s="1180"/>
      <c r="I899" s="1180"/>
      <c r="J899" s="1180" t="s">
        <v>1026</v>
      </c>
      <c r="K899" s="1180"/>
      <c r="L899" s="1180"/>
      <c r="AC899" s="1253"/>
    </row>
    <row r="900">
      <c r="B900" s="1180"/>
      <c r="C900" s="1180"/>
      <c r="D900" s="1180"/>
      <c r="E900" s="310"/>
      <c r="F900" s="1180"/>
      <c r="G900" s="1180"/>
      <c r="H900" s="1180"/>
      <c r="I900" s="1180"/>
      <c r="J900" s="1180" t="s">
        <v>1026</v>
      </c>
      <c r="K900" s="1180"/>
      <c r="L900" s="1180"/>
      <c r="AC900" s="1253"/>
    </row>
    <row r="901">
      <c r="B901" s="1180"/>
      <c r="C901" s="1180"/>
      <c r="D901" s="1180"/>
      <c r="E901" s="310"/>
      <c r="F901" s="1180"/>
      <c r="G901" s="1180"/>
      <c r="H901" s="1180"/>
      <c r="I901" s="1180"/>
      <c r="J901" s="1180" t="s">
        <v>1026</v>
      </c>
      <c r="K901" s="1180"/>
      <c r="L901" s="1180"/>
      <c r="AC901" s="1253"/>
    </row>
    <row r="902">
      <c r="B902" s="1180"/>
      <c r="C902" s="1180"/>
      <c r="D902" s="1180"/>
      <c r="E902" s="310"/>
      <c r="F902" s="1180"/>
      <c r="G902" s="1180"/>
      <c r="H902" s="1180"/>
      <c r="I902" s="1180"/>
      <c r="J902" s="1180" t="s">
        <v>1026</v>
      </c>
      <c r="K902" s="1180"/>
      <c r="L902" s="1180"/>
      <c r="AC902" s="1253"/>
    </row>
    <row r="903">
      <c r="B903" s="1180"/>
      <c r="C903" s="1180"/>
      <c r="D903" s="1180"/>
      <c r="E903" s="310"/>
      <c r="F903" s="1180"/>
      <c r="G903" s="1180"/>
      <c r="H903" s="1180"/>
      <c r="I903" s="1180"/>
      <c r="J903" s="1180" t="s">
        <v>1026</v>
      </c>
      <c r="K903" s="1180"/>
      <c r="L903" s="1180"/>
      <c r="AC903" s="1253"/>
    </row>
    <row r="904">
      <c r="B904" s="1180"/>
      <c r="C904" s="1180"/>
      <c r="D904" s="1180"/>
      <c r="E904" s="310"/>
      <c r="F904" s="1180"/>
      <c r="G904" s="1180"/>
      <c r="H904" s="1180"/>
      <c r="I904" s="1180"/>
      <c r="J904" s="1180" t="s">
        <v>1026</v>
      </c>
      <c r="K904" s="1180"/>
      <c r="L904" s="1180"/>
      <c r="AC904" s="1253"/>
    </row>
    <row r="905">
      <c r="B905" s="1180"/>
      <c r="C905" s="1180"/>
      <c r="D905" s="1180"/>
      <c r="E905" s="310"/>
      <c r="F905" s="1180"/>
      <c r="G905" s="1180"/>
      <c r="H905" s="1180"/>
      <c r="I905" s="1180"/>
      <c r="J905" s="1180" t="s">
        <v>1026</v>
      </c>
      <c r="K905" s="1180"/>
      <c r="L905" s="1180"/>
      <c r="AC905" s="1253"/>
    </row>
    <row r="906">
      <c r="B906" s="1180"/>
      <c r="C906" s="1180"/>
      <c r="D906" s="1180"/>
      <c r="E906" s="310"/>
      <c r="F906" s="1180"/>
      <c r="G906" s="1180"/>
      <c r="H906" s="1180"/>
      <c r="I906" s="1180"/>
      <c r="J906" s="1180" t="s">
        <v>1026</v>
      </c>
      <c r="K906" s="1180"/>
      <c r="L906" s="1180"/>
      <c r="AC906" s="1253"/>
    </row>
    <row r="907">
      <c r="B907" s="1180"/>
      <c r="C907" s="1180"/>
      <c r="D907" s="1180"/>
      <c r="E907" s="310"/>
      <c r="F907" s="1180"/>
      <c r="G907" s="1180"/>
      <c r="H907" s="1180"/>
      <c r="I907" s="1180"/>
      <c r="J907" s="1180" t="s">
        <v>1026</v>
      </c>
      <c r="K907" s="1180"/>
      <c r="L907" s="1180"/>
      <c r="AC907" s="1253"/>
    </row>
    <row r="908">
      <c r="B908" s="1180"/>
      <c r="C908" s="1180"/>
      <c r="D908" s="1180"/>
      <c r="E908" s="310"/>
      <c r="F908" s="1180"/>
      <c r="G908" s="1180"/>
      <c r="H908" s="1180"/>
      <c r="I908" s="1180"/>
      <c r="J908" s="1180" t="s">
        <v>1026</v>
      </c>
      <c r="K908" s="1180"/>
      <c r="L908" s="1180"/>
      <c r="AC908" s="1253"/>
    </row>
    <row r="909">
      <c r="B909" s="1180"/>
      <c r="C909" s="1180"/>
      <c r="D909" s="1180"/>
      <c r="E909" s="310"/>
      <c r="F909" s="1180"/>
      <c r="G909" s="1180"/>
      <c r="H909" s="1180"/>
      <c r="I909" s="1180"/>
      <c r="J909" s="1180" t="s">
        <v>1026</v>
      </c>
      <c r="K909" s="1180"/>
      <c r="L909" s="1180"/>
      <c r="AC909" s="1253"/>
    </row>
    <row r="910">
      <c r="B910" s="1180"/>
      <c r="C910" s="1180"/>
      <c r="D910" s="1180"/>
      <c r="E910" s="310"/>
      <c r="F910" s="1180"/>
      <c r="G910" s="1180"/>
      <c r="H910" s="1180"/>
      <c r="I910" s="1180"/>
      <c r="J910" s="1180" t="s">
        <v>1026</v>
      </c>
      <c r="K910" s="1180"/>
      <c r="L910" s="1180"/>
      <c r="AC910" s="1253"/>
    </row>
    <row r="911">
      <c r="B911" s="1180"/>
      <c r="C911" s="1180"/>
      <c r="D911" s="1180"/>
      <c r="E911" s="310"/>
      <c r="F911" s="1180"/>
      <c r="G911" s="1180"/>
      <c r="H911" s="1180"/>
      <c r="I911" s="1180"/>
      <c r="J911" s="1180" t="s">
        <v>1026</v>
      </c>
      <c r="K911" s="1180"/>
      <c r="L911" s="1180"/>
      <c r="AC911" s="1253"/>
    </row>
    <row r="912">
      <c r="B912" s="1180"/>
      <c r="C912" s="1180"/>
      <c r="D912" s="1180"/>
      <c r="E912" s="310"/>
      <c r="F912" s="1180"/>
      <c r="G912" s="1180"/>
      <c r="H912" s="1180"/>
      <c r="I912" s="1180"/>
      <c r="J912" s="1180" t="s">
        <v>1026</v>
      </c>
      <c r="K912" s="1180"/>
      <c r="L912" s="1180"/>
      <c r="AC912" s="1253"/>
    </row>
    <row r="913">
      <c r="B913" s="1180"/>
      <c r="C913" s="1180"/>
      <c r="D913" s="1180"/>
      <c r="E913" s="310"/>
      <c r="F913" s="1180"/>
      <c r="G913" s="1180"/>
      <c r="H913" s="1180"/>
      <c r="I913" s="1180"/>
      <c r="J913" s="1180" t="s">
        <v>1026</v>
      </c>
      <c r="K913" s="1180"/>
      <c r="L913" s="1180"/>
      <c r="AC913" s="1253"/>
    </row>
    <row r="914">
      <c r="B914" s="1180"/>
      <c r="C914" s="1180"/>
      <c r="D914" s="1180"/>
      <c r="E914" s="310"/>
      <c r="F914" s="1180"/>
      <c r="G914" s="1180"/>
      <c r="H914" s="1180"/>
      <c r="I914" s="1180"/>
      <c r="J914" s="1180" t="s">
        <v>1026</v>
      </c>
      <c r="K914" s="1180"/>
      <c r="L914" s="1180"/>
      <c r="AC914" s="1253"/>
    </row>
    <row r="915">
      <c r="B915" s="1180"/>
      <c r="C915" s="1180"/>
      <c r="D915" s="1180"/>
      <c r="E915" s="310"/>
      <c r="F915" s="1180"/>
      <c r="G915" s="1180"/>
      <c r="H915" s="1180"/>
      <c r="I915" s="1180"/>
      <c r="J915" s="1180" t="s">
        <v>1026</v>
      </c>
      <c r="K915" s="1180"/>
      <c r="L915" s="1180"/>
      <c r="AC915" s="1253"/>
    </row>
    <row r="916">
      <c r="B916" s="1180"/>
      <c r="C916" s="1180"/>
      <c r="D916" s="1180"/>
      <c r="E916" s="310"/>
      <c r="F916" s="1180"/>
      <c r="G916" s="1180"/>
      <c r="H916" s="1180"/>
      <c r="I916" s="1180"/>
      <c r="J916" s="1180" t="s">
        <v>1026</v>
      </c>
      <c r="K916" s="1180"/>
      <c r="L916" s="1180"/>
      <c r="AC916" s="1253"/>
    </row>
    <row r="917">
      <c r="B917" s="1180"/>
      <c r="C917" s="1180"/>
      <c r="D917" s="1180"/>
      <c r="E917" s="310"/>
      <c r="F917" s="1180"/>
      <c r="G917" s="1180"/>
      <c r="H917" s="1180"/>
      <c r="I917" s="1180"/>
      <c r="J917" s="1180" t="s">
        <v>1026</v>
      </c>
      <c r="K917" s="1180"/>
      <c r="L917" s="1180"/>
      <c r="AC917" s="1253"/>
    </row>
    <row r="918">
      <c r="B918" s="1180"/>
      <c r="C918" s="1180"/>
      <c r="D918" s="1180"/>
      <c r="E918" s="310"/>
      <c r="F918" s="1180"/>
      <c r="G918" s="1180"/>
      <c r="H918" s="1180"/>
      <c r="I918" s="1180"/>
      <c r="J918" s="1180" t="s">
        <v>1026</v>
      </c>
      <c r="K918" s="1180"/>
      <c r="L918" s="1180"/>
      <c r="AC918" s="1253"/>
    </row>
    <row r="919">
      <c r="B919" s="1180"/>
      <c r="C919" s="1180"/>
      <c r="D919" s="1180"/>
      <c r="E919" s="310"/>
      <c r="F919" s="1180"/>
      <c r="G919" s="1180"/>
      <c r="H919" s="1180"/>
      <c r="I919" s="1180"/>
      <c r="J919" s="1180" t="s">
        <v>1026</v>
      </c>
      <c r="K919" s="1180"/>
      <c r="L919" s="1180"/>
      <c r="AC919" s="1253"/>
    </row>
    <row r="920">
      <c r="B920" s="1180"/>
      <c r="C920" s="1180"/>
      <c r="D920" s="1180"/>
      <c r="E920" s="310"/>
      <c r="F920" s="1180"/>
      <c r="G920" s="1180"/>
      <c r="H920" s="1180"/>
      <c r="I920" s="1180"/>
      <c r="J920" s="1180" t="s">
        <v>1026</v>
      </c>
      <c r="K920" s="1180"/>
      <c r="L920" s="1180"/>
      <c r="AC920" s="1253"/>
    </row>
    <row r="921">
      <c r="B921" s="1180"/>
      <c r="C921" s="1180"/>
      <c r="D921" s="1180"/>
      <c r="E921" s="310"/>
      <c r="F921" s="1180"/>
      <c r="G921" s="1180"/>
      <c r="H921" s="1180"/>
      <c r="I921" s="1180"/>
      <c r="J921" s="1180" t="s">
        <v>1026</v>
      </c>
      <c r="K921" s="1180"/>
      <c r="L921" s="1180"/>
      <c r="AC921" s="1253"/>
    </row>
    <row r="922">
      <c r="B922" s="1180"/>
      <c r="C922" s="1180"/>
      <c r="D922" s="1180"/>
      <c r="E922" s="310"/>
      <c r="F922" s="1180"/>
      <c r="G922" s="1180"/>
      <c r="H922" s="1180"/>
      <c r="I922" s="1180"/>
      <c r="J922" s="1180" t="s">
        <v>1026</v>
      </c>
      <c r="K922" s="1180"/>
      <c r="L922" s="1180"/>
      <c r="AC922" s="1253"/>
    </row>
    <row r="923">
      <c r="B923" s="1180"/>
      <c r="C923" s="1180"/>
      <c r="D923" s="1180"/>
      <c r="E923" s="310"/>
      <c r="F923" s="1180"/>
      <c r="G923" s="1180"/>
      <c r="H923" s="1180"/>
      <c r="I923" s="1180"/>
      <c r="J923" s="1180" t="s">
        <v>1026</v>
      </c>
      <c r="K923" s="1180"/>
      <c r="L923" s="1180"/>
      <c r="AC923" s="1253"/>
    </row>
    <row r="924">
      <c r="B924" s="1180"/>
      <c r="C924" s="1180"/>
      <c r="D924" s="1180"/>
      <c r="E924" s="310"/>
      <c r="F924" s="1180"/>
      <c r="G924" s="1180"/>
      <c r="H924" s="1180"/>
      <c r="I924" s="1180"/>
      <c r="J924" s="1180" t="s">
        <v>1026</v>
      </c>
      <c r="K924" s="1180"/>
      <c r="L924" s="1180"/>
      <c r="AC924" s="1253"/>
    </row>
    <row r="925">
      <c r="B925" s="1180"/>
      <c r="C925" s="1180"/>
      <c r="D925" s="1180"/>
      <c r="E925" s="310"/>
      <c r="F925" s="1180"/>
      <c r="G925" s="1180"/>
      <c r="H925" s="1180"/>
      <c r="I925" s="1180"/>
      <c r="J925" s="1180" t="s">
        <v>1026</v>
      </c>
      <c r="K925" s="1180"/>
      <c r="L925" s="1180"/>
      <c r="AC925" s="1253"/>
    </row>
    <row r="926">
      <c r="B926" s="1180"/>
      <c r="C926" s="1180"/>
      <c r="D926" s="1180"/>
      <c r="E926" s="310"/>
      <c r="F926" s="1180"/>
      <c r="G926" s="1180"/>
      <c r="H926" s="1180"/>
      <c r="I926" s="1180"/>
      <c r="J926" s="1180" t="s">
        <v>1026</v>
      </c>
      <c r="K926" s="1180"/>
      <c r="L926" s="1180"/>
      <c r="AC926" s="1253"/>
    </row>
    <row r="927">
      <c r="B927" s="1180"/>
      <c r="C927" s="1180"/>
      <c r="D927" s="1180"/>
      <c r="E927" s="310"/>
      <c r="F927" s="1180"/>
      <c r="G927" s="1180"/>
      <c r="H927" s="1180"/>
      <c r="I927" s="1180"/>
      <c r="J927" s="1180" t="s">
        <v>1026</v>
      </c>
      <c r="K927" s="1180"/>
      <c r="L927" s="1180"/>
      <c r="AC927" s="1253"/>
    </row>
    <row r="928">
      <c r="B928" s="1180"/>
      <c r="C928" s="1180"/>
      <c r="D928" s="1180"/>
      <c r="E928" s="310"/>
      <c r="F928" s="1180"/>
      <c r="G928" s="1180"/>
      <c r="H928" s="1180"/>
      <c r="I928" s="1180"/>
      <c r="J928" s="1180" t="s">
        <v>1026</v>
      </c>
      <c r="K928" s="1180"/>
      <c r="L928" s="1180"/>
      <c r="AC928" s="1253"/>
    </row>
    <row r="929">
      <c r="B929" s="1180"/>
      <c r="C929" s="1180"/>
      <c r="D929" s="1180"/>
      <c r="E929" s="310"/>
      <c r="F929" s="1180"/>
      <c r="G929" s="1180"/>
      <c r="H929" s="1180"/>
      <c r="I929" s="1180"/>
      <c r="J929" s="1180" t="s">
        <v>1026</v>
      </c>
      <c r="K929" s="1180"/>
      <c r="L929" s="1180"/>
      <c r="AC929" s="1253"/>
    </row>
    <row r="930">
      <c r="B930" s="1180"/>
      <c r="C930" s="1180"/>
      <c r="D930" s="1180"/>
      <c r="E930" s="310"/>
      <c r="F930" s="1180"/>
      <c r="G930" s="1180"/>
      <c r="H930" s="1180"/>
      <c r="I930" s="1180"/>
      <c r="J930" s="1180" t="s">
        <v>1026</v>
      </c>
      <c r="K930" s="1180"/>
      <c r="L930" s="1180"/>
      <c r="AC930" s="1253"/>
    </row>
    <row r="931">
      <c r="B931" s="1180"/>
      <c r="C931" s="1180"/>
      <c r="D931" s="1180"/>
      <c r="E931" s="310"/>
      <c r="F931" s="1180"/>
      <c r="G931" s="1180"/>
      <c r="H931" s="1180"/>
      <c r="I931" s="1180"/>
      <c r="J931" s="1180" t="s">
        <v>1026</v>
      </c>
      <c r="K931" s="1180"/>
      <c r="L931" s="1180"/>
      <c r="AC931" s="1253"/>
    </row>
    <row r="932">
      <c r="B932" s="1180"/>
      <c r="C932" s="1180"/>
      <c r="D932" s="1180"/>
      <c r="E932" s="310"/>
      <c r="F932" s="1180"/>
      <c r="G932" s="1180"/>
      <c r="H932" s="1180"/>
      <c r="I932" s="1180"/>
      <c r="J932" s="1180" t="s">
        <v>1026</v>
      </c>
      <c r="K932" s="1180"/>
      <c r="L932" s="1180"/>
      <c r="AC932" s="1253"/>
    </row>
    <row r="933">
      <c r="B933" s="1180"/>
      <c r="C933" s="1180"/>
      <c r="D933" s="1180"/>
      <c r="E933" s="310"/>
      <c r="F933" s="1180"/>
      <c r="G933" s="1180"/>
      <c r="H933" s="1180"/>
      <c r="I933" s="1180"/>
      <c r="J933" s="1180" t="s">
        <v>1026</v>
      </c>
      <c r="K933" s="1180"/>
      <c r="L933" s="1180"/>
      <c r="AC933" s="1253"/>
    </row>
    <row r="934">
      <c r="B934" s="1180"/>
      <c r="C934" s="1180"/>
      <c r="D934" s="1180"/>
      <c r="E934" s="310"/>
      <c r="F934" s="1180"/>
      <c r="G934" s="1180"/>
      <c r="H934" s="1180"/>
      <c r="I934" s="1180"/>
      <c r="J934" s="1180" t="s">
        <v>1026</v>
      </c>
      <c r="K934" s="1180"/>
      <c r="L934" s="1180"/>
      <c r="AC934" s="1253"/>
    </row>
    <row r="935">
      <c r="B935" s="1180"/>
      <c r="C935" s="1180"/>
      <c r="D935" s="1180"/>
      <c r="E935" s="310"/>
      <c r="F935" s="1180"/>
      <c r="G935" s="1180"/>
      <c r="H935" s="1180"/>
      <c r="I935" s="1180"/>
      <c r="J935" s="1180" t="s">
        <v>1026</v>
      </c>
      <c r="K935" s="1180"/>
      <c r="L935" s="1180"/>
      <c r="AC935" s="1253"/>
    </row>
    <row r="936">
      <c r="B936" s="1180"/>
      <c r="C936" s="1180"/>
      <c r="D936" s="1180"/>
      <c r="E936" s="310"/>
      <c r="F936" s="1180"/>
      <c r="G936" s="1180"/>
      <c r="H936" s="1180"/>
      <c r="I936" s="1180"/>
      <c r="J936" s="1180" t="s">
        <v>1026</v>
      </c>
      <c r="K936" s="1180"/>
      <c r="L936" s="1180"/>
      <c r="AC936" s="1253"/>
    </row>
    <row r="937">
      <c r="B937" s="1180"/>
      <c r="C937" s="1180"/>
      <c r="D937" s="1180"/>
      <c r="E937" s="310"/>
      <c r="F937" s="1180"/>
      <c r="G937" s="1180"/>
      <c r="H937" s="1180"/>
      <c r="I937" s="1180"/>
      <c r="J937" s="1180" t="s">
        <v>1026</v>
      </c>
      <c r="K937" s="1180"/>
      <c r="L937" s="1180"/>
      <c r="AC937" s="1253"/>
    </row>
    <row r="938">
      <c r="B938" s="1180"/>
      <c r="C938" s="1180"/>
      <c r="D938" s="1180"/>
      <c r="E938" s="310"/>
      <c r="F938" s="1180"/>
      <c r="G938" s="1180"/>
      <c r="H938" s="1180"/>
      <c r="I938" s="1180"/>
      <c r="J938" s="1180" t="s">
        <v>1026</v>
      </c>
      <c r="K938" s="1180"/>
      <c r="L938" s="1180"/>
      <c r="AC938" s="1253"/>
    </row>
    <row r="939">
      <c r="B939" s="1180"/>
      <c r="C939" s="1180"/>
      <c r="D939" s="1180"/>
      <c r="E939" s="310"/>
      <c r="F939" s="1180"/>
      <c r="G939" s="1180"/>
      <c r="H939" s="1180"/>
      <c r="I939" s="1180"/>
      <c r="J939" s="1180" t="s">
        <v>1026</v>
      </c>
      <c r="K939" s="1180"/>
      <c r="L939" s="1180"/>
      <c r="AC939" s="1253"/>
    </row>
    <row r="940">
      <c r="B940" s="1180"/>
      <c r="C940" s="1180"/>
      <c r="D940" s="1180"/>
      <c r="E940" s="310"/>
      <c r="F940" s="1180"/>
      <c r="G940" s="1180"/>
      <c r="H940" s="1180"/>
      <c r="I940" s="1180"/>
      <c r="J940" s="1180" t="s">
        <v>1026</v>
      </c>
      <c r="K940" s="1180"/>
      <c r="L940" s="1180"/>
      <c r="AC940" s="1253"/>
    </row>
    <row r="941">
      <c r="B941" s="1180"/>
      <c r="C941" s="1180"/>
      <c r="D941" s="1180"/>
      <c r="E941" s="310"/>
      <c r="F941" s="1180"/>
      <c r="G941" s="1180"/>
      <c r="H941" s="1180"/>
      <c r="I941" s="1180"/>
      <c r="J941" s="1180" t="s">
        <v>1026</v>
      </c>
      <c r="K941" s="1180"/>
      <c r="L941" s="1180"/>
      <c r="AC941" s="1253"/>
    </row>
    <row r="942">
      <c r="B942" s="1180"/>
      <c r="C942" s="1180"/>
      <c r="D942" s="1180"/>
      <c r="E942" s="310"/>
      <c r="F942" s="1180"/>
      <c r="G942" s="1180"/>
      <c r="H942" s="1180"/>
      <c r="I942" s="1180"/>
      <c r="J942" s="1180" t="s">
        <v>1026</v>
      </c>
      <c r="K942" s="1180"/>
      <c r="L942" s="1180"/>
      <c r="AC942" s="1253"/>
    </row>
    <row r="943">
      <c r="B943" s="1180"/>
      <c r="C943" s="1180"/>
      <c r="D943" s="1180"/>
      <c r="E943" s="310"/>
      <c r="F943" s="1180"/>
      <c r="G943" s="1180"/>
      <c r="H943" s="1180"/>
      <c r="I943" s="1180"/>
      <c r="J943" s="1180" t="s">
        <v>1026</v>
      </c>
      <c r="K943" s="1180"/>
      <c r="L943" s="1180"/>
      <c r="AC943" s="1253"/>
    </row>
    <row r="944">
      <c r="B944" s="1180"/>
      <c r="C944" s="1180"/>
      <c r="D944" s="1180"/>
      <c r="E944" s="310"/>
      <c r="F944" s="1180"/>
      <c r="G944" s="1180"/>
      <c r="H944" s="1180"/>
      <c r="I944" s="1180"/>
      <c r="J944" s="1180" t="s">
        <v>1026</v>
      </c>
      <c r="K944" s="1180"/>
      <c r="L944" s="1180"/>
      <c r="AC944" s="1253"/>
    </row>
    <row r="945">
      <c r="B945" s="1180"/>
      <c r="C945" s="1180"/>
      <c r="D945" s="1180"/>
      <c r="E945" s="310"/>
      <c r="F945" s="1180"/>
      <c r="G945" s="1180"/>
      <c r="H945" s="1180"/>
      <c r="I945" s="1180"/>
      <c r="J945" s="1180" t="s">
        <v>1026</v>
      </c>
      <c r="K945" s="1180"/>
      <c r="L945" s="1180"/>
      <c r="AC945" s="1253"/>
    </row>
    <row r="946">
      <c r="B946" s="1180"/>
      <c r="C946" s="1180"/>
      <c r="D946" s="1180"/>
      <c r="E946" s="310"/>
      <c r="F946" s="1180"/>
      <c r="G946" s="1180"/>
      <c r="H946" s="1180"/>
      <c r="I946" s="1180"/>
      <c r="J946" s="1180" t="s">
        <v>1026</v>
      </c>
      <c r="K946" s="1180"/>
      <c r="L946" s="1180"/>
      <c r="AC946" s="1253"/>
    </row>
    <row r="947">
      <c r="B947" s="1180"/>
      <c r="C947" s="1180"/>
      <c r="D947" s="1180"/>
      <c r="E947" s="310"/>
      <c r="F947" s="1180"/>
      <c r="G947" s="1180"/>
      <c r="H947" s="1180"/>
      <c r="I947" s="1180"/>
      <c r="J947" s="1180" t="s">
        <v>1026</v>
      </c>
      <c r="K947" s="1180"/>
      <c r="L947" s="1180"/>
      <c r="AC947" s="1253"/>
    </row>
    <row r="948">
      <c r="B948" s="1180"/>
      <c r="C948" s="1180"/>
      <c r="D948" s="1180"/>
      <c r="E948" s="310"/>
      <c r="F948" s="1180"/>
      <c r="G948" s="1180"/>
      <c r="H948" s="1180"/>
      <c r="I948" s="1180"/>
      <c r="J948" s="1180" t="s">
        <v>1026</v>
      </c>
      <c r="K948" s="1180"/>
      <c r="L948" s="1180"/>
      <c r="AC948" s="1253"/>
    </row>
    <row r="949">
      <c r="B949" s="1180"/>
      <c r="C949" s="1180"/>
      <c r="D949" s="1180"/>
      <c r="E949" s="310"/>
      <c r="F949" s="1180"/>
      <c r="G949" s="1180"/>
      <c r="H949" s="1180"/>
      <c r="I949" s="1180"/>
      <c r="J949" s="1180" t="s">
        <v>1026</v>
      </c>
      <c r="K949" s="1180"/>
      <c r="L949" s="1180"/>
      <c r="AC949" s="1253"/>
    </row>
    <row r="950">
      <c r="B950" s="1180"/>
      <c r="C950" s="1180"/>
      <c r="D950" s="1180"/>
      <c r="E950" s="310"/>
      <c r="F950" s="1180"/>
      <c r="G950" s="1180"/>
      <c r="H950" s="1180"/>
      <c r="I950" s="1180"/>
      <c r="J950" s="1180" t="s">
        <v>1026</v>
      </c>
      <c r="K950" s="1180"/>
      <c r="L950" s="1180"/>
      <c r="AC950" s="1253"/>
    </row>
    <row r="951">
      <c r="B951" s="1180"/>
      <c r="C951" s="1180"/>
      <c r="D951" s="1180"/>
      <c r="E951" s="310"/>
      <c r="F951" s="1180"/>
      <c r="G951" s="1180"/>
      <c r="H951" s="1180"/>
      <c r="I951" s="1180"/>
      <c r="J951" s="1180" t="s">
        <v>1026</v>
      </c>
      <c r="K951" s="1180"/>
      <c r="L951" s="1180"/>
      <c r="AC951" s="1253"/>
    </row>
    <row r="952">
      <c r="B952" s="1180"/>
      <c r="C952" s="1180"/>
      <c r="D952" s="1180"/>
      <c r="E952" s="310"/>
      <c r="F952" s="1180"/>
      <c r="G952" s="1180"/>
      <c r="H952" s="1180"/>
      <c r="I952" s="1180"/>
      <c r="J952" s="1180" t="s">
        <v>1026</v>
      </c>
      <c r="K952" s="1180"/>
      <c r="L952" s="1180"/>
      <c r="AC952" s="1253"/>
    </row>
    <row r="953">
      <c r="B953" s="1180"/>
      <c r="C953" s="1180"/>
      <c r="D953" s="1180"/>
      <c r="E953" s="310"/>
      <c r="F953" s="1180"/>
      <c r="G953" s="1180"/>
      <c r="H953" s="1180"/>
      <c r="I953" s="1180"/>
      <c r="J953" s="1180" t="s">
        <v>1026</v>
      </c>
      <c r="K953" s="1180"/>
      <c r="L953" s="1180"/>
      <c r="AC953" s="1253"/>
    </row>
    <row r="954">
      <c r="B954" s="1180"/>
      <c r="C954" s="1180"/>
      <c r="D954" s="1180"/>
      <c r="E954" s="310"/>
      <c r="F954" s="1180"/>
      <c r="G954" s="1180"/>
      <c r="H954" s="1180"/>
      <c r="I954" s="1180"/>
      <c r="J954" s="1180" t="s">
        <v>1026</v>
      </c>
      <c r="K954" s="1180"/>
      <c r="L954" s="1180"/>
      <c r="AC954" s="1253"/>
    </row>
    <row r="955">
      <c r="B955" s="1180"/>
      <c r="C955" s="1180"/>
      <c r="D955" s="1180"/>
      <c r="E955" s="310"/>
      <c r="F955" s="1180"/>
      <c r="G955" s="1180"/>
      <c r="H955" s="1180"/>
      <c r="I955" s="1180"/>
      <c r="J955" s="1180" t="s">
        <v>1026</v>
      </c>
      <c r="K955" s="1180"/>
      <c r="L955" s="1180"/>
      <c r="AC955" s="1253"/>
    </row>
    <row r="956">
      <c r="B956" s="1180"/>
      <c r="C956" s="1180"/>
      <c r="D956" s="1180"/>
      <c r="E956" s="310"/>
      <c r="F956" s="1180"/>
      <c r="G956" s="1180"/>
      <c r="H956" s="1180"/>
      <c r="I956" s="1180"/>
      <c r="J956" s="1180" t="s">
        <v>1026</v>
      </c>
      <c r="K956" s="1180"/>
      <c r="L956" s="1180"/>
      <c r="AC956" s="1253"/>
    </row>
    <row r="957">
      <c r="B957" s="1180"/>
      <c r="C957" s="1180"/>
      <c r="D957" s="1180"/>
      <c r="E957" s="310"/>
      <c r="F957" s="1180"/>
      <c r="G957" s="1180"/>
      <c r="H957" s="1180"/>
      <c r="I957" s="1180"/>
      <c r="J957" s="1180" t="s">
        <v>1026</v>
      </c>
      <c r="K957" s="1180"/>
      <c r="L957" s="1180"/>
      <c r="AC957" s="1253"/>
    </row>
    <row r="958">
      <c r="B958" s="1180"/>
      <c r="C958" s="1180"/>
      <c r="D958" s="1180"/>
      <c r="E958" s="310"/>
      <c r="F958" s="1180"/>
      <c r="G958" s="1180"/>
      <c r="H958" s="1180"/>
      <c r="I958" s="1180"/>
      <c r="J958" s="1180" t="s">
        <v>1026</v>
      </c>
      <c r="K958" s="1180"/>
      <c r="L958" s="1180"/>
      <c r="AC958" s="1253"/>
    </row>
    <row r="959">
      <c r="B959" s="1180"/>
      <c r="C959" s="1180"/>
      <c r="D959" s="1180"/>
      <c r="E959" s="310"/>
      <c r="F959" s="1180"/>
      <c r="G959" s="1180"/>
      <c r="H959" s="1180"/>
      <c r="I959" s="1180"/>
      <c r="J959" s="1180" t="s">
        <v>1026</v>
      </c>
      <c r="K959" s="1180"/>
      <c r="L959" s="1180"/>
      <c r="AC959" s="1253"/>
    </row>
    <row r="960">
      <c r="B960" s="1180"/>
      <c r="C960" s="1180"/>
      <c r="D960" s="1180"/>
      <c r="E960" s="310"/>
      <c r="F960" s="1180"/>
      <c r="G960" s="1180"/>
      <c r="H960" s="1180"/>
      <c r="I960" s="1180"/>
      <c r="J960" s="1180" t="s">
        <v>1026</v>
      </c>
      <c r="K960" s="1180"/>
      <c r="L960" s="1180"/>
      <c r="AC960" s="1253"/>
    </row>
    <row r="961">
      <c r="B961" s="1180"/>
      <c r="C961" s="1180"/>
      <c r="D961" s="1180"/>
      <c r="E961" s="310"/>
      <c r="F961" s="1180"/>
      <c r="G961" s="1180"/>
      <c r="H961" s="1180"/>
      <c r="I961" s="1180"/>
      <c r="J961" s="1180" t="s">
        <v>1026</v>
      </c>
      <c r="K961" s="1180"/>
      <c r="L961" s="1180"/>
      <c r="AC961" s="1253"/>
    </row>
    <row r="962">
      <c r="B962" s="1180"/>
      <c r="C962" s="1180"/>
      <c r="D962" s="1180"/>
      <c r="E962" s="310"/>
      <c r="F962" s="1180"/>
      <c r="G962" s="1180"/>
      <c r="H962" s="1180"/>
      <c r="I962" s="1180"/>
      <c r="J962" s="1180" t="s">
        <v>1026</v>
      </c>
      <c r="K962" s="1180"/>
      <c r="L962" s="1180"/>
      <c r="AC962" s="1253"/>
    </row>
    <row r="963">
      <c r="B963" s="1180"/>
      <c r="C963" s="1180"/>
      <c r="D963" s="1180"/>
      <c r="E963" s="310"/>
      <c r="F963" s="1180"/>
      <c r="G963" s="1180"/>
      <c r="H963" s="1180"/>
      <c r="I963" s="1180"/>
      <c r="J963" s="1180" t="s">
        <v>1026</v>
      </c>
      <c r="K963" s="1180"/>
      <c r="L963" s="1180"/>
      <c r="AC963" s="1253"/>
    </row>
    <row r="964">
      <c r="B964" s="1180"/>
      <c r="C964" s="1180"/>
      <c r="D964" s="1180"/>
      <c r="E964" s="310"/>
      <c r="F964" s="1180"/>
      <c r="G964" s="1180"/>
      <c r="H964" s="1180"/>
      <c r="I964" s="1180"/>
      <c r="J964" s="1180" t="s">
        <v>1026</v>
      </c>
      <c r="K964" s="1180"/>
      <c r="L964" s="1180"/>
      <c r="AC964" s="1253"/>
    </row>
    <row r="965">
      <c r="B965" s="1180"/>
      <c r="C965" s="1180"/>
      <c r="D965" s="1180"/>
      <c r="E965" s="310"/>
      <c r="F965" s="1180"/>
      <c r="G965" s="1180"/>
      <c r="H965" s="1180"/>
      <c r="I965" s="1180"/>
      <c r="J965" s="1180" t="s">
        <v>1026</v>
      </c>
      <c r="K965" s="1180"/>
      <c r="L965" s="1180"/>
      <c r="AC965" s="1253"/>
    </row>
    <row r="966">
      <c r="B966" s="1180"/>
      <c r="C966" s="1180"/>
      <c r="D966" s="1180"/>
      <c r="E966" s="310"/>
      <c r="F966" s="1180"/>
      <c r="G966" s="1180"/>
      <c r="H966" s="1180"/>
      <c r="I966" s="1180"/>
      <c r="J966" s="1180" t="s">
        <v>1026</v>
      </c>
      <c r="K966" s="1180"/>
      <c r="L966" s="1180"/>
      <c r="AC966" s="1253"/>
    </row>
    <row r="967">
      <c r="B967" s="1180"/>
      <c r="C967" s="1180"/>
      <c r="D967" s="1180"/>
      <c r="E967" s="310"/>
      <c r="F967" s="1180"/>
      <c r="G967" s="1180"/>
      <c r="H967" s="1180"/>
      <c r="I967" s="1180"/>
      <c r="J967" s="1180" t="s">
        <v>1026</v>
      </c>
      <c r="K967" s="1180"/>
      <c r="L967" s="1180"/>
      <c r="AC967" s="1253"/>
    </row>
    <row r="968">
      <c r="B968" s="1180"/>
      <c r="C968" s="1180"/>
      <c r="D968" s="1180"/>
      <c r="E968" s="310"/>
      <c r="F968" s="1180"/>
      <c r="G968" s="1180"/>
      <c r="H968" s="1180"/>
      <c r="I968" s="1180"/>
      <c r="J968" s="1180" t="s">
        <v>1026</v>
      </c>
      <c r="K968" s="1180"/>
      <c r="L968" s="1180"/>
      <c r="AC968" s="1253"/>
    </row>
    <row r="969">
      <c r="B969" s="1180"/>
      <c r="C969" s="1180"/>
      <c r="D969" s="1180"/>
      <c r="E969" s="310"/>
      <c r="F969" s="1180"/>
      <c r="G969" s="1180"/>
      <c r="H969" s="1180"/>
      <c r="I969" s="1180"/>
      <c r="J969" s="1180" t="s">
        <v>1026</v>
      </c>
      <c r="K969" s="1180"/>
      <c r="L969" s="1180"/>
      <c r="AC969" s="1253"/>
    </row>
    <row r="970">
      <c r="B970" s="1180"/>
      <c r="C970" s="1180"/>
      <c r="D970" s="1180"/>
      <c r="E970" s="310"/>
      <c r="F970" s="1180"/>
      <c r="G970" s="1180"/>
      <c r="H970" s="1180"/>
      <c r="I970" s="1180"/>
      <c r="J970" s="1180" t="s">
        <v>1026</v>
      </c>
      <c r="K970" s="1180"/>
      <c r="L970" s="1180"/>
      <c r="AC970" s="1253"/>
    </row>
    <row r="971">
      <c r="B971" s="1180"/>
      <c r="C971" s="1180"/>
      <c r="D971" s="1180"/>
      <c r="E971" s="310"/>
      <c r="F971" s="1180"/>
      <c r="G971" s="1180"/>
      <c r="H971" s="1180"/>
      <c r="I971" s="1180"/>
      <c r="J971" s="1180" t="s">
        <v>1026</v>
      </c>
      <c r="K971" s="1180"/>
      <c r="L971" s="1180"/>
      <c r="AC971" s="1253"/>
    </row>
    <row r="972">
      <c r="B972" s="1180"/>
      <c r="C972" s="1180"/>
      <c r="D972" s="1180"/>
      <c r="E972" s="310"/>
      <c r="F972" s="1180"/>
      <c r="G972" s="1180"/>
      <c r="H972" s="1180"/>
      <c r="I972" s="1180"/>
      <c r="J972" s="1180" t="s">
        <v>1026</v>
      </c>
      <c r="K972" s="1180"/>
      <c r="L972" s="1180"/>
      <c r="AC972" s="1253"/>
    </row>
    <row r="973">
      <c r="B973" s="1180"/>
      <c r="C973" s="1180"/>
      <c r="D973" s="1180"/>
      <c r="E973" s="310"/>
      <c r="F973" s="1180"/>
      <c r="G973" s="1180"/>
      <c r="H973" s="1180"/>
      <c r="I973" s="1180"/>
      <c r="J973" s="1180" t="s">
        <v>1026</v>
      </c>
      <c r="K973" s="1180"/>
      <c r="L973" s="1180"/>
      <c r="AC973" s="1253"/>
    </row>
    <row r="974">
      <c r="B974" s="1180"/>
      <c r="C974" s="1180"/>
      <c r="D974" s="1180"/>
      <c r="E974" s="310"/>
      <c r="F974" s="1180"/>
      <c r="G974" s="1180"/>
      <c r="H974" s="1180"/>
      <c r="I974" s="1180"/>
      <c r="J974" s="1180" t="s">
        <v>1026</v>
      </c>
      <c r="K974" s="1180"/>
      <c r="L974" s="1180"/>
      <c r="AC974" s="1253"/>
    </row>
    <row r="975">
      <c r="B975" s="1180"/>
      <c r="C975" s="1180"/>
      <c r="D975" s="1180"/>
      <c r="E975" s="310"/>
      <c r="F975" s="1180"/>
      <c r="G975" s="1180"/>
      <c r="H975" s="1180"/>
      <c r="I975" s="1180"/>
      <c r="J975" s="1180" t="s">
        <v>1026</v>
      </c>
      <c r="K975" s="1180"/>
      <c r="L975" s="1180"/>
      <c r="AC975" s="1253"/>
    </row>
    <row r="976">
      <c r="B976" s="1180"/>
      <c r="C976" s="1180"/>
      <c r="D976" s="1180"/>
      <c r="E976" s="310"/>
      <c r="F976" s="1180"/>
      <c r="G976" s="1180"/>
      <c r="H976" s="1180"/>
      <c r="I976" s="1180"/>
      <c r="J976" s="1180" t="s">
        <v>1026</v>
      </c>
      <c r="K976" s="1180"/>
      <c r="L976" s="1180"/>
      <c r="AC976" s="1253"/>
    </row>
    <row r="977">
      <c r="B977" s="1180"/>
      <c r="C977" s="1180"/>
      <c r="D977" s="1180"/>
      <c r="E977" s="310"/>
      <c r="F977" s="1180"/>
      <c r="G977" s="1180"/>
      <c r="H977" s="1180"/>
      <c r="I977" s="1180"/>
      <c r="J977" s="1180" t="s">
        <v>1026</v>
      </c>
      <c r="K977" s="1180"/>
      <c r="L977" s="1180"/>
      <c r="AC977" s="1253"/>
    </row>
    <row r="978">
      <c r="B978" s="1180"/>
      <c r="C978" s="1180"/>
      <c r="D978" s="1180"/>
      <c r="E978" s="310"/>
      <c r="F978" s="1180"/>
      <c r="G978" s="1180"/>
      <c r="H978" s="1180"/>
      <c r="I978" s="1180"/>
      <c r="J978" s="1180" t="s">
        <v>1026</v>
      </c>
      <c r="K978" s="1180"/>
      <c r="L978" s="1180"/>
      <c r="AC978" s="1253"/>
    </row>
    <row r="979">
      <c r="B979" s="1180"/>
      <c r="C979" s="1180"/>
      <c r="D979" s="1180"/>
      <c r="E979" s="310"/>
      <c r="F979" s="1180"/>
      <c r="G979" s="1180"/>
      <c r="H979" s="1180"/>
      <c r="I979" s="1180"/>
      <c r="J979" s="1180" t="s">
        <v>1026</v>
      </c>
      <c r="K979" s="1180"/>
      <c r="L979" s="1180"/>
      <c r="AC979" s="1253"/>
    </row>
    <row r="980">
      <c r="B980" s="1180"/>
      <c r="C980" s="1180"/>
      <c r="D980" s="1180"/>
      <c r="E980" s="310"/>
      <c r="F980" s="1180"/>
      <c r="G980" s="1180"/>
      <c r="H980" s="1180"/>
      <c r="I980" s="1180"/>
      <c r="J980" s="1180" t="s">
        <v>1026</v>
      </c>
      <c r="K980" s="1180"/>
      <c r="L980" s="1180"/>
      <c r="AC980" s="1253"/>
    </row>
    <row r="981">
      <c r="B981" s="1180"/>
      <c r="C981" s="1180"/>
      <c r="D981" s="1180"/>
      <c r="E981" s="310"/>
      <c r="F981" s="1180"/>
      <c r="G981" s="1180"/>
      <c r="H981" s="1180"/>
      <c r="I981" s="1180"/>
      <c r="J981" s="1180" t="s">
        <v>1026</v>
      </c>
      <c r="K981" s="1180"/>
      <c r="L981" s="1180"/>
      <c r="AC981" s="1253"/>
    </row>
    <row r="982">
      <c r="B982" s="1180"/>
      <c r="C982" s="1180"/>
      <c r="D982" s="1180"/>
      <c r="E982" s="310"/>
      <c r="F982" s="1180"/>
      <c r="G982" s="1180"/>
      <c r="H982" s="1180"/>
      <c r="I982" s="1180"/>
      <c r="J982" s="1180" t="s">
        <v>1026</v>
      </c>
      <c r="K982" s="1180"/>
      <c r="L982" s="1180"/>
      <c r="AC982" s="1253"/>
    </row>
    <row r="983">
      <c r="B983" s="1180"/>
      <c r="C983" s="1180"/>
      <c r="D983" s="1180"/>
      <c r="E983" s="310"/>
      <c r="F983" s="1180"/>
      <c r="G983" s="1180"/>
      <c r="H983" s="1180"/>
      <c r="I983" s="1180"/>
      <c r="J983" s="1180" t="s">
        <v>1026</v>
      </c>
      <c r="K983" s="1180"/>
      <c r="L983" s="1180"/>
      <c r="AC983" s="1253"/>
    </row>
    <row r="984">
      <c r="B984" s="1180"/>
      <c r="C984" s="1180"/>
      <c r="D984" s="1180"/>
      <c r="E984" s="310"/>
      <c r="F984" s="1180"/>
      <c r="G984" s="1180"/>
      <c r="H984" s="1180"/>
      <c r="I984" s="1180"/>
      <c r="J984" s="1180" t="s">
        <v>1026</v>
      </c>
      <c r="K984" s="1180"/>
      <c r="L984" s="1180"/>
      <c r="AC984" s="1253"/>
    </row>
    <row r="985">
      <c r="B985" s="1180"/>
      <c r="C985" s="1180"/>
      <c r="D985" s="1180"/>
      <c r="E985" s="310"/>
      <c r="F985" s="1180"/>
      <c r="G985" s="1180"/>
      <c r="H985" s="1180"/>
      <c r="I985" s="1180"/>
      <c r="J985" s="1180" t="s">
        <v>1026</v>
      </c>
      <c r="K985" s="1180"/>
      <c r="L985" s="1180"/>
      <c r="AC985" s="1253"/>
    </row>
    <row r="986">
      <c r="B986" s="1180"/>
      <c r="C986" s="1180"/>
      <c r="D986" s="1180"/>
      <c r="E986" s="310"/>
      <c r="F986" s="1180"/>
      <c r="G986" s="1180"/>
      <c r="H986" s="1180"/>
      <c r="I986" s="1180"/>
      <c r="J986" s="1180" t="s">
        <v>1026</v>
      </c>
      <c r="K986" s="1180"/>
      <c r="L986" s="1180"/>
      <c r="AC986" s="1253"/>
    </row>
    <row r="987">
      <c r="B987" s="1180"/>
      <c r="C987" s="1180"/>
      <c r="D987" s="1180"/>
      <c r="E987" s="310"/>
      <c r="F987" s="1180"/>
      <c r="G987" s="1180"/>
      <c r="H987" s="1180"/>
      <c r="I987" s="1180"/>
      <c r="J987" s="1180" t="s">
        <v>1026</v>
      </c>
      <c r="K987" s="1180"/>
      <c r="L987" s="1180"/>
      <c r="AC987" s="1253"/>
    </row>
    <row r="988">
      <c r="B988" s="1180"/>
      <c r="C988" s="1180"/>
      <c r="D988" s="1180"/>
      <c r="E988" s="310"/>
      <c r="F988" s="1180"/>
      <c r="G988" s="1180"/>
      <c r="H988" s="1180"/>
      <c r="I988" s="1180"/>
      <c r="J988" s="1180" t="s">
        <v>1026</v>
      </c>
      <c r="K988" s="1180"/>
      <c r="L988" s="1180"/>
      <c r="AC988" s="1253"/>
    </row>
    <row r="989">
      <c r="B989" s="1180"/>
      <c r="C989" s="1180"/>
      <c r="D989" s="1180"/>
      <c r="E989" s="310"/>
      <c r="F989" s="1180"/>
      <c r="G989" s="1180"/>
      <c r="H989" s="1180"/>
      <c r="I989" s="1180"/>
      <c r="J989" s="1180" t="s">
        <v>1026</v>
      </c>
      <c r="K989" s="1180"/>
      <c r="L989" s="1180"/>
      <c r="AC989" s="1253"/>
    </row>
    <row r="990">
      <c r="B990" s="1180"/>
      <c r="C990" s="1180"/>
      <c r="D990" s="1180"/>
      <c r="E990" s="310"/>
      <c r="F990" s="1180"/>
      <c r="G990" s="1180"/>
      <c r="H990" s="1180"/>
      <c r="I990" s="1180"/>
      <c r="J990" s="1180" t="s">
        <v>1026</v>
      </c>
      <c r="K990" s="1180"/>
      <c r="L990" s="1180"/>
      <c r="AC990" s="1253"/>
    </row>
    <row r="991">
      <c r="B991" s="1180"/>
      <c r="C991" s="1180"/>
      <c r="D991" s="1180"/>
      <c r="E991" s="310"/>
      <c r="F991" s="1180"/>
      <c r="G991" s="1180"/>
      <c r="H991" s="1180"/>
      <c r="I991" s="1180"/>
      <c r="J991" s="1180" t="s">
        <v>1026</v>
      </c>
      <c r="K991" s="1180"/>
      <c r="L991" s="1180"/>
      <c r="AC991" s="1253"/>
    </row>
    <row r="992">
      <c r="B992" s="1180"/>
      <c r="C992" s="1180"/>
      <c r="D992" s="1180"/>
      <c r="E992" s="310"/>
      <c r="F992" s="1180"/>
      <c r="G992" s="1180"/>
      <c r="H992" s="1180"/>
      <c r="I992" s="1180"/>
      <c r="J992" s="1180" t="s">
        <v>1026</v>
      </c>
      <c r="K992" s="1180"/>
      <c r="L992" s="1180"/>
      <c r="AC992" s="1253"/>
    </row>
    <row r="993">
      <c r="B993" s="1180"/>
      <c r="C993" s="1180"/>
      <c r="D993" s="1180"/>
      <c r="E993" s="310"/>
      <c r="F993" s="1180"/>
      <c r="G993" s="1180"/>
      <c r="H993" s="1180"/>
      <c r="I993" s="1180"/>
      <c r="J993" s="1180" t="s">
        <v>1026</v>
      </c>
      <c r="K993" s="1180"/>
      <c r="L993" s="1180"/>
      <c r="AC993" s="1253"/>
    </row>
    <row r="994">
      <c r="B994" s="1180"/>
      <c r="C994" s="1180"/>
      <c r="D994" s="1180"/>
      <c r="E994" s="310"/>
      <c r="F994" s="1180"/>
      <c r="G994" s="1180"/>
      <c r="H994" s="1180"/>
      <c r="I994" s="1180"/>
      <c r="J994" s="1180" t="s">
        <v>1026</v>
      </c>
      <c r="K994" s="1180"/>
      <c r="L994" s="1180"/>
      <c r="AC994" s="1253"/>
    </row>
    <row r="995">
      <c r="B995" s="1180"/>
      <c r="C995" s="1180"/>
      <c r="D995" s="1180"/>
      <c r="E995" s="310"/>
      <c r="F995" s="1180"/>
      <c r="G995" s="1180"/>
      <c r="H995" s="1180"/>
      <c r="I995" s="1180"/>
      <c r="J995" s="1180" t="s">
        <v>1026</v>
      </c>
      <c r="K995" s="1180"/>
      <c r="L995" s="1180"/>
      <c r="AC995" s="1253"/>
    </row>
    <row r="996">
      <c r="B996" s="1180"/>
      <c r="C996" s="1180"/>
      <c r="D996" s="1180"/>
      <c r="E996" s="310"/>
      <c r="F996" s="1180"/>
      <c r="G996" s="1180"/>
      <c r="H996" s="1180"/>
      <c r="I996" s="1180"/>
      <c r="J996" s="1180" t="s">
        <v>1026</v>
      </c>
      <c r="K996" s="1180"/>
      <c r="L996" s="1180"/>
      <c r="AC996" s="1253"/>
    </row>
    <row r="997">
      <c r="B997" s="1180"/>
      <c r="C997" s="1180"/>
      <c r="D997" s="1180"/>
      <c r="E997" s="310"/>
      <c r="F997" s="1180"/>
      <c r="G997" s="1180"/>
      <c r="H997" s="1180"/>
      <c r="I997" s="1180"/>
      <c r="J997" s="1180" t="s">
        <v>1026</v>
      </c>
      <c r="K997" s="1180"/>
      <c r="L997" s="1180"/>
      <c r="AC997" s="1253"/>
    </row>
    <row r="998">
      <c r="B998" s="1180"/>
      <c r="C998" s="1180"/>
      <c r="D998" s="1180"/>
      <c r="E998" s="310"/>
      <c r="F998" s="1180"/>
      <c r="G998" s="1180"/>
      <c r="H998" s="1180"/>
      <c r="I998" s="1180"/>
      <c r="J998" s="1180" t="s">
        <v>1026</v>
      </c>
      <c r="K998" s="1180"/>
      <c r="L998" s="1180"/>
      <c r="AC998" s="1253"/>
    </row>
    <row r="999">
      <c r="B999" s="1180"/>
      <c r="C999" s="1180"/>
      <c r="D999" s="1180"/>
      <c r="E999" s="310"/>
      <c r="F999" s="1180"/>
      <c r="G999" s="1180"/>
      <c r="H999" s="1180"/>
      <c r="I999" s="1180"/>
      <c r="J999" s="1180" t="s">
        <v>1026</v>
      </c>
      <c r="K999" s="1180"/>
      <c r="L999" s="1180"/>
      <c r="AC999" s="1253"/>
    </row>
    <row r="1000">
      <c r="B1000" s="1180"/>
      <c r="C1000" s="1180"/>
      <c r="D1000" s="1180"/>
      <c r="E1000" s="310"/>
      <c r="F1000" s="1180"/>
      <c r="G1000" s="1180"/>
      <c r="H1000" s="1180"/>
      <c r="I1000" s="1180"/>
      <c r="J1000" s="1180" t="s">
        <v>1026</v>
      </c>
      <c r="K1000" s="1180"/>
      <c r="L1000" s="1180"/>
      <c r="AC1000" s="1253"/>
    </row>
    <row r="1001">
      <c r="B1001" s="1180"/>
      <c r="C1001" s="1180"/>
      <c r="D1001" s="1180"/>
      <c r="E1001" s="310"/>
      <c r="F1001" s="1180"/>
      <c r="G1001" s="1180"/>
      <c r="H1001" s="1180"/>
      <c r="I1001" s="1180"/>
      <c r="J1001" s="1180" t="s">
        <v>1026</v>
      </c>
      <c r="K1001" s="1180"/>
      <c r="L1001" s="1180"/>
      <c r="AC1001" s="1253"/>
    </row>
    <row r="1002">
      <c r="B1002" s="1180"/>
      <c r="C1002" s="1180"/>
      <c r="D1002" s="1180"/>
      <c r="E1002" s="310"/>
      <c r="F1002" s="1180"/>
      <c r="G1002" s="1180"/>
      <c r="H1002" s="1180"/>
      <c r="I1002" s="1180"/>
      <c r="J1002" s="1180" t="s">
        <v>1026</v>
      </c>
      <c r="K1002" s="1180"/>
      <c r="L1002" s="1180"/>
      <c r="AC1002" s="1253"/>
    </row>
    <row r="1003">
      <c r="B1003" s="1180"/>
      <c r="C1003" s="1180"/>
      <c r="D1003" s="1180"/>
      <c r="E1003" s="310"/>
      <c r="F1003" s="1180"/>
      <c r="G1003" s="1180"/>
      <c r="H1003" s="1180"/>
      <c r="I1003" s="1180"/>
      <c r="J1003" s="1180" t="s">
        <v>1026</v>
      </c>
      <c r="K1003" s="1180"/>
      <c r="L1003" s="1180"/>
      <c r="AC1003" s="1253"/>
    </row>
    <row r="1004">
      <c r="B1004" s="1180"/>
      <c r="C1004" s="1180"/>
      <c r="D1004" s="1180"/>
      <c r="E1004" s="310"/>
      <c r="F1004" s="1180"/>
      <c r="G1004" s="1180"/>
      <c r="H1004" s="1180"/>
      <c r="I1004" s="1180"/>
      <c r="J1004" s="1180" t="s">
        <v>1026</v>
      </c>
      <c r="K1004" s="1180"/>
      <c r="L1004" s="1180"/>
      <c r="AC1004" s="1253"/>
    </row>
    <row r="1005">
      <c r="B1005" s="1180"/>
      <c r="C1005" s="1180"/>
      <c r="D1005" s="1180"/>
      <c r="E1005" s="310"/>
      <c r="F1005" s="1180"/>
      <c r="G1005" s="1180"/>
      <c r="H1005" s="1180"/>
      <c r="I1005" s="1180"/>
      <c r="J1005" s="1180" t="s">
        <v>1026</v>
      </c>
      <c r="K1005" s="1180"/>
      <c r="L1005" s="1180"/>
      <c r="AC1005" s="1253"/>
    </row>
    <row r="1006">
      <c r="B1006" s="1180"/>
      <c r="C1006" s="1180"/>
      <c r="D1006" s="1180"/>
      <c r="E1006" s="310"/>
      <c r="F1006" s="1180"/>
      <c r="G1006" s="1180"/>
      <c r="H1006" s="1180"/>
      <c r="I1006" s="1180"/>
      <c r="J1006" s="1180" t="s">
        <v>1026</v>
      </c>
      <c r="K1006" s="1180"/>
      <c r="L1006" s="1180"/>
      <c r="AC1006" s="1253"/>
    </row>
    <row r="1007">
      <c r="B1007" s="1180"/>
      <c r="C1007" s="1180"/>
      <c r="D1007" s="1180"/>
      <c r="E1007" s="310"/>
      <c r="F1007" s="1180"/>
      <c r="G1007" s="1180"/>
      <c r="H1007" s="1180"/>
      <c r="I1007" s="1180"/>
      <c r="J1007" s="1180" t="s">
        <v>1026</v>
      </c>
      <c r="K1007" s="1180"/>
      <c r="L1007" s="1180"/>
      <c r="AC1007" s="1253"/>
    </row>
    <row r="1008">
      <c r="B1008" s="1180"/>
      <c r="C1008" s="1180"/>
      <c r="D1008" s="1180"/>
      <c r="E1008" s="310"/>
      <c r="F1008" s="1180"/>
      <c r="G1008" s="1180"/>
      <c r="H1008" s="1180"/>
      <c r="I1008" s="1180"/>
      <c r="J1008" s="1180" t="s">
        <v>1026</v>
      </c>
      <c r="K1008" s="1180"/>
      <c r="L1008" s="1180"/>
      <c r="AC1008" s="1253"/>
    </row>
    <row r="1009">
      <c r="B1009" s="1180"/>
      <c r="C1009" s="1180"/>
      <c r="D1009" s="1180"/>
      <c r="E1009" s="310"/>
      <c r="F1009" s="1180"/>
      <c r="G1009" s="1180"/>
      <c r="H1009" s="1180"/>
      <c r="I1009" s="1180"/>
      <c r="J1009" s="1180" t="s">
        <v>1026</v>
      </c>
      <c r="K1009" s="1180"/>
      <c r="L1009" s="1180"/>
      <c r="AC1009" s="1253"/>
    </row>
    <row r="1010">
      <c r="B1010" s="1180"/>
      <c r="C1010" s="1180"/>
      <c r="D1010" s="1180"/>
      <c r="E1010" s="310"/>
      <c r="F1010" s="1180"/>
      <c r="G1010" s="1180"/>
      <c r="H1010" s="1180"/>
      <c r="I1010" s="1180"/>
      <c r="J1010" s="1180" t="s">
        <v>1026</v>
      </c>
      <c r="K1010" s="1180"/>
      <c r="L1010" s="1180"/>
      <c r="AC1010" s="1253"/>
    </row>
    <row r="1011">
      <c r="B1011" s="1180"/>
      <c r="C1011" s="1180"/>
      <c r="D1011" s="1180"/>
      <c r="E1011" s="310"/>
      <c r="F1011" s="1180"/>
      <c r="G1011" s="1180"/>
      <c r="H1011" s="1180"/>
      <c r="I1011" s="1180"/>
      <c r="J1011" s="1180" t="s">
        <v>1026</v>
      </c>
      <c r="K1011" s="1180"/>
      <c r="L1011" s="1180"/>
      <c r="AC1011" s="1253"/>
    </row>
    <row r="1012">
      <c r="B1012" s="1180"/>
      <c r="C1012" s="1180"/>
      <c r="D1012" s="1180"/>
      <c r="E1012" s="310"/>
      <c r="F1012" s="1180"/>
      <c r="G1012" s="1180"/>
      <c r="H1012" s="1180"/>
      <c r="I1012" s="1180"/>
      <c r="J1012" s="1180" t="s">
        <v>1026</v>
      </c>
      <c r="K1012" s="1180"/>
      <c r="L1012" s="1180"/>
      <c r="AC1012" s="1253"/>
    </row>
    <row r="1013">
      <c r="B1013" s="1180"/>
      <c r="C1013" s="1180"/>
      <c r="D1013" s="1180"/>
      <c r="E1013" s="310"/>
      <c r="F1013" s="1180"/>
      <c r="G1013" s="1180"/>
      <c r="H1013" s="1180"/>
      <c r="I1013" s="1180"/>
      <c r="J1013" s="1180" t="s">
        <v>1026</v>
      </c>
      <c r="K1013" s="1180"/>
      <c r="L1013" s="1180"/>
      <c r="AC1013" s="1253"/>
    </row>
    <row r="1014">
      <c r="B1014" s="1180"/>
      <c r="C1014" s="1180"/>
      <c r="D1014" s="1180"/>
      <c r="E1014" s="310"/>
      <c r="F1014" s="1180"/>
      <c r="G1014" s="1180"/>
      <c r="H1014" s="1180"/>
      <c r="I1014" s="1180"/>
      <c r="J1014" s="1180" t="s">
        <v>1026</v>
      </c>
      <c r="K1014" s="1180"/>
      <c r="L1014" s="1180"/>
      <c r="AC1014" s="1253"/>
    </row>
    <row r="1015">
      <c r="B1015" s="1180"/>
      <c r="C1015" s="1180"/>
      <c r="D1015" s="1180"/>
      <c r="E1015" s="310"/>
      <c r="F1015" s="1180"/>
      <c r="G1015" s="1180"/>
      <c r="H1015" s="1180"/>
      <c r="I1015" s="1180"/>
      <c r="J1015" s="1180" t="s">
        <v>1026</v>
      </c>
      <c r="K1015" s="1180"/>
      <c r="L1015" s="1180"/>
      <c r="AC1015" s="1253"/>
    </row>
    <row r="1016">
      <c r="B1016" s="1180"/>
      <c r="C1016" s="1180"/>
      <c r="D1016" s="1180"/>
      <c r="E1016" s="310"/>
      <c r="F1016" s="1180"/>
      <c r="G1016" s="1180"/>
      <c r="H1016" s="1180"/>
      <c r="I1016" s="1180"/>
      <c r="J1016" s="1180" t="s">
        <v>1026</v>
      </c>
      <c r="K1016" s="1180"/>
      <c r="L1016" s="1180"/>
      <c r="AC1016" s="1253"/>
    </row>
    <row r="1017">
      <c r="B1017" s="1180"/>
      <c r="C1017" s="1180"/>
      <c r="D1017" s="1180"/>
      <c r="E1017" s="310"/>
      <c r="F1017" s="1180"/>
      <c r="G1017" s="1180"/>
      <c r="H1017" s="1180"/>
      <c r="I1017" s="1180"/>
      <c r="J1017" s="1180" t="s">
        <v>1026</v>
      </c>
      <c r="K1017" s="1180"/>
      <c r="L1017" s="1180"/>
      <c r="AC1017" s="1253"/>
    </row>
    <row r="1018">
      <c r="B1018" s="1180"/>
      <c r="C1018" s="1180"/>
      <c r="D1018" s="1180"/>
      <c r="E1018" s="310"/>
      <c r="F1018" s="1180"/>
      <c r="G1018" s="1180"/>
      <c r="H1018" s="1180"/>
      <c r="I1018" s="1180"/>
      <c r="J1018" s="1180" t="s">
        <v>1026</v>
      </c>
      <c r="K1018" s="1180"/>
      <c r="L1018" s="1180"/>
      <c r="AC1018" s="1253"/>
    </row>
    <row r="1019">
      <c r="B1019" s="1180"/>
      <c r="C1019" s="1180"/>
      <c r="D1019" s="1180"/>
      <c r="E1019" s="310"/>
      <c r="F1019" s="1180"/>
      <c r="G1019" s="1180"/>
      <c r="H1019" s="1180"/>
      <c r="I1019" s="1180"/>
      <c r="J1019" s="1180" t="s">
        <v>1026</v>
      </c>
      <c r="K1019" s="1180"/>
      <c r="L1019" s="1180"/>
      <c r="AC1019" s="1253"/>
    </row>
    <row r="1020">
      <c r="B1020" s="1180"/>
      <c r="C1020" s="1180"/>
      <c r="D1020" s="1180"/>
      <c r="E1020" s="310"/>
      <c r="F1020" s="1180"/>
      <c r="G1020" s="1180"/>
      <c r="H1020" s="1180"/>
      <c r="I1020" s="1180"/>
      <c r="J1020" s="1180" t="s">
        <v>1026</v>
      </c>
      <c r="K1020" s="1180"/>
      <c r="L1020" s="1180"/>
      <c r="AC1020" s="1253"/>
    </row>
    <row r="1021">
      <c r="B1021" s="1180"/>
      <c r="C1021" s="1180"/>
      <c r="D1021" s="1180"/>
      <c r="E1021" s="310"/>
      <c r="F1021" s="1180"/>
      <c r="G1021" s="1180"/>
      <c r="H1021" s="1180"/>
      <c r="I1021" s="1180"/>
      <c r="J1021" s="1180" t="s">
        <v>1026</v>
      </c>
      <c r="K1021" s="1180"/>
      <c r="L1021" s="1180"/>
      <c r="AC1021" s="1253"/>
    </row>
    <row r="1022">
      <c r="B1022" s="1180"/>
      <c r="C1022" s="1180"/>
      <c r="D1022" s="1180"/>
      <c r="E1022" s="310"/>
      <c r="F1022" s="1180"/>
      <c r="G1022" s="1180"/>
      <c r="H1022" s="1180"/>
      <c r="I1022" s="1180"/>
      <c r="J1022" s="1180" t="s">
        <v>1026</v>
      </c>
      <c r="K1022" s="1180"/>
      <c r="L1022" s="1180"/>
      <c r="AC1022" s="1253"/>
    </row>
    <row r="1023">
      <c r="B1023" s="1180"/>
      <c r="C1023" s="1180"/>
      <c r="D1023" s="1180"/>
      <c r="E1023" s="310"/>
      <c r="F1023" s="1180"/>
      <c r="G1023" s="1180"/>
      <c r="H1023" s="1180"/>
      <c r="I1023" s="1180"/>
      <c r="J1023" s="1180" t="s">
        <v>1026</v>
      </c>
      <c r="K1023" s="1180"/>
      <c r="L1023" s="1180"/>
      <c r="AC1023" s="1253"/>
    </row>
    <row r="1024">
      <c r="B1024" s="1180"/>
      <c r="C1024" s="1180"/>
      <c r="D1024" s="1180"/>
      <c r="E1024" s="310"/>
      <c r="F1024" s="1180"/>
      <c r="G1024" s="1180"/>
      <c r="H1024" s="1180"/>
      <c r="I1024" s="1180"/>
      <c r="J1024" s="1180" t="s">
        <v>1026</v>
      </c>
      <c r="K1024" s="1180"/>
      <c r="L1024" s="1180"/>
      <c r="AC1024" s="1253"/>
    </row>
    <row r="1025">
      <c r="B1025" s="1180"/>
      <c r="C1025" s="1180"/>
      <c r="D1025" s="1180"/>
      <c r="E1025" s="310"/>
      <c r="F1025" s="1180"/>
      <c r="G1025" s="1180"/>
      <c r="H1025" s="1180"/>
      <c r="I1025" s="1180"/>
      <c r="J1025" s="1180" t="s">
        <v>1026</v>
      </c>
      <c r="K1025" s="1180"/>
      <c r="L1025" s="1180"/>
      <c r="AC1025" s="1253"/>
    </row>
    <row r="1026">
      <c r="B1026" s="1180"/>
      <c r="C1026" s="1180"/>
      <c r="D1026" s="1180"/>
      <c r="E1026" s="310"/>
      <c r="F1026" s="1180"/>
      <c r="G1026" s="1180"/>
      <c r="H1026" s="1180"/>
      <c r="I1026" s="1180"/>
      <c r="J1026" s="1180" t="s">
        <v>1026</v>
      </c>
      <c r="K1026" s="1180"/>
      <c r="L1026" s="1180"/>
      <c r="AC1026" s="1253"/>
    </row>
    <row r="1027">
      <c r="B1027" s="1180"/>
      <c r="C1027" s="1180"/>
      <c r="D1027" s="1180"/>
      <c r="E1027" s="310"/>
      <c r="F1027" s="1180"/>
      <c r="G1027" s="1180"/>
      <c r="H1027" s="1180"/>
      <c r="I1027" s="1180"/>
      <c r="J1027" s="1180" t="s">
        <v>1026</v>
      </c>
      <c r="K1027" s="1180"/>
      <c r="L1027" s="1180"/>
      <c r="AC1027" s="1253"/>
    </row>
    <row r="1028">
      <c r="B1028" s="1180"/>
      <c r="C1028" s="1180"/>
      <c r="D1028" s="1180"/>
      <c r="E1028" s="310"/>
      <c r="F1028" s="1180"/>
      <c r="G1028" s="1180"/>
      <c r="H1028" s="1180"/>
      <c r="I1028" s="1180"/>
      <c r="J1028" s="1180" t="s">
        <v>1026</v>
      </c>
      <c r="K1028" s="1180"/>
      <c r="L1028" s="1180"/>
      <c r="AC1028" s="1253"/>
    </row>
    <row r="1029">
      <c r="B1029" s="1180"/>
      <c r="C1029" s="1180"/>
      <c r="D1029" s="1180"/>
      <c r="E1029" s="310"/>
      <c r="F1029" s="1180"/>
      <c r="G1029" s="1180"/>
      <c r="H1029" s="1180"/>
      <c r="I1029" s="1180"/>
      <c r="J1029" s="1180" t="s">
        <v>1026</v>
      </c>
      <c r="K1029" s="1180"/>
      <c r="L1029" s="1180"/>
      <c r="AC1029" s="1253"/>
    </row>
    <row r="1030">
      <c r="B1030" s="1180"/>
      <c r="C1030" s="1180"/>
      <c r="D1030" s="1180"/>
      <c r="E1030" s="310"/>
      <c r="F1030" s="1180"/>
      <c r="G1030" s="1180"/>
      <c r="H1030" s="1180"/>
      <c r="I1030" s="1180"/>
      <c r="J1030" s="1180" t="s">
        <v>1026</v>
      </c>
      <c r="K1030" s="1180"/>
      <c r="L1030" s="1180"/>
      <c r="AC1030" s="1253"/>
    </row>
    <row r="1031">
      <c r="B1031" s="1180"/>
      <c r="C1031" s="1180"/>
      <c r="D1031" s="1180"/>
      <c r="E1031" s="310"/>
      <c r="F1031" s="1180"/>
      <c r="G1031" s="1180"/>
      <c r="H1031" s="1180"/>
      <c r="I1031" s="1180"/>
      <c r="J1031" s="1180" t="s">
        <v>1026</v>
      </c>
      <c r="K1031" s="1180"/>
      <c r="L1031" s="1180"/>
      <c r="AC1031" s="1253"/>
    </row>
    <row r="1032">
      <c r="B1032" s="1180"/>
      <c r="C1032" s="1180"/>
      <c r="D1032" s="1180"/>
      <c r="E1032" s="310"/>
      <c r="F1032" s="1180"/>
      <c r="G1032" s="1180"/>
      <c r="H1032" s="1180"/>
      <c r="I1032" s="1180"/>
      <c r="J1032" s="1180" t="s">
        <v>1026</v>
      </c>
      <c r="K1032" s="1180"/>
      <c r="L1032" s="1180"/>
      <c r="AC1032" s="1253"/>
    </row>
    <row r="1033">
      <c r="B1033" s="1180"/>
      <c r="C1033" s="1180"/>
      <c r="D1033" s="1180"/>
      <c r="E1033" s="310"/>
      <c r="F1033" s="1180"/>
      <c r="G1033" s="1180"/>
      <c r="H1033" s="1180"/>
      <c r="I1033" s="1180"/>
      <c r="J1033" s="1180" t="s">
        <v>1026</v>
      </c>
      <c r="K1033" s="1180"/>
      <c r="L1033" s="1180"/>
      <c r="AC1033" s="1253"/>
    </row>
    <row r="1034">
      <c r="B1034" s="1180"/>
      <c r="C1034" s="1180"/>
      <c r="D1034" s="1180"/>
      <c r="E1034" s="310"/>
      <c r="F1034" s="1180"/>
      <c r="G1034" s="1180"/>
      <c r="H1034" s="1180"/>
      <c r="I1034" s="1180"/>
      <c r="J1034" s="1180" t="s">
        <v>1026</v>
      </c>
      <c r="K1034" s="1180"/>
      <c r="L1034" s="1180"/>
      <c r="AC1034" s="1253"/>
    </row>
    <row r="1035">
      <c r="B1035" s="1180"/>
      <c r="C1035" s="1180"/>
      <c r="D1035" s="1180"/>
      <c r="E1035" s="310"/>
      <c r="F1035" s="1180"/>
      <c r="G1035" s="1180"/>
      <c r="H1035" s="1180"/>
      <c r="I1035" s="1180"/>
      <c r="J1035" s="1180" t="s">
        <v>1026</v>
      </c>
      <c r="K1035" s="1180"/>
      <c r="L1035" s="1180"/>
      <c r="AC1035" s="1253"/>
    </row>
    <row r="1036">
      <c r="B1036" s="1180"/>
      <c r="C1036" s="1180"/>
      <c r="D1036" s="1180"/>
      <c r="E1036" s="310"/>
      <c r="F1036" s="1180"/>
      <c r="G1036" s="1180"/>
      <c r="H1036" s="1180"/>
      <c r="I1036" s="1180"/>
      <c r="J1036" s="1180" t="s">
        <v>1026</v>
      </c>
      <c r="K1036" s="1180"/>
      <c r="L1036" s="1180"/>
      <c r="AC1036" s="1253"/>
    </row>
    <row r="1037">
      <c r="B1037" s="1180"/>
      <c r="C1037" s="1180"/>
      <c r="D1037" s="1180"/>
      <c r="E1037" s="310"/>
      <c r="F1037" s="1180"/>
      <c r="G1037" s="1180"/>
      <c r="H1037" s="1180"/>
      <c r="I1037" s="1180"/>
      <c r="J1037" s="1180" t="s">
        <v>1026</v>
      </c>
      <c r="K1037" s="1180"/>
      <c r="L1037" s="1180"/>
      <c r="AC1037" s="1253"/>
    </row>
    <row r="1038">
      <c r="B1038" s="1180"/>
      <c r="C1038" s="1180"/>
      <c r="D1038" s="1180"/>
      <c r="E1038" s="310"/>
      <c r="F1038" s="1180"/>
      <c r="G1038" s="1180"/>
      <c r="H1038" s="1180"/>
      <c r="I1038" s="1180"/>
      <c r="J1038" s="1180" t="s">
        <v>1026</v>
      </c>
      <c r="K1038" s="1180"/>
      <c r="L1038" s="1180"/>
      <c r="AC1038" s="12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